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C:\Users\Brend\Downloads\"/>
    </mc:Choice>
  </mc:AlternateContent>
  <xr:revisionPtr revIDLastSave="0" documentId="8_{4A8127D2-593E-48F1-81B0-BF2553740059}" xr6:coauthVersionLast="47" xr6:coauthVersionMax="47" xr10:uidLastSave="{00000000-0000-0000-0000-000000000000}"/>
  <bookViews>
    <workbookView xWindow="-109" yWindow="-109" windowWidth="26301" windowHeight="14169" xr2:uid="{00000000-000D-0000-FFFF-FFFF00000000}"/>
  </bookViews>
  <sheets>
    <sheet name="DCF - Moderate" sheetId="2" r:id="rId1"/>
    <sheet name="DCF - Aggressive" sheetId="12" r:id="rId2"/>
    <sheet name="DCF - Conservative" sheetId="13" r:id="rId3"/>
    <sheet name="WACC" sheetId="4" r:id="rId4"/>
    <sheet name="IS" sheetId="3" r:id="rId5"/>
    <sheet name="BS" sheetId="6" r:id="rId6"/>
    <sheet name="CFS" sheetId="7" r:id="rId7"/>
    <sheet name="IS est" sheetId="9" r:id="rId8"/>
    <sheet name="BS est" sheetId="11" r:id="rId9"/>
    <sheet name="CFS est" sheetId="10" r:id="rId1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0" i="2" l="1"/>
  <c r="P49" i="2" l="1"/>
  <c r="B52" i="2" s="1"/>
  <c r="G48" i="2"/>
  <c r="B2" i="2" a="1"/>
  <c r="B2" i="2" s="1"/>
  <c r="J3" i="2" s="1"/>
  <c r="P49" i="12"/>
  <c r="G48" i="12"/>
  <c r="C7" i="4"/>
  <c r="C11" i="4"/>
  <c r="G34" i="13"/>
  <c r="G35" i="13" s="1"/>
  <c r="K34" i="12"/>
  <c r="J34" i="12"/>
  <c r="I34" i="12"/>
  <c r="H34" i="12"/>
  <c r="G34" i="12"/>
  <c r="P32" i="2"/>
  <c r="K39" i="2"/>
  <c r="O32" i="2"/>
  <c r="L32" i="2"/>
  <c r="O29" i="2"/>
  <c r="M32" i="13"/>
  <c r="N32" i="13" s="1"/>
  <c r="L32" i="13"/>
  <c r="L29" i="13"/>
  <c r="C63" i="4"/>
  <c r="P45" i="13"/>
  <c r="N45" i="13"/>
  <c r="L45" i="13"/>
  <c r="J45" i="13"/>
  <c r="I45" i="13"/>
  <c r="G45" i="13"/>
  <c r="G44" i="13"/>
  <c r="C2" i="2" l="1"/>
  <c r="B2" i="12"/>
  <c r="M32" i="2"/>
  <c r="N32" i="2"/>
  <c r="P32" i="13"/>
  <c r="O32" i="13"/>
  <c r="M29" i="13"/>
  <c r="N29" i="13"/>
  <c r="O29" i="13" l="1"/>
  <c r="P29" i="13" s="1"/>
  <c r="C100" i="12" l="1"/>
  <c r="C100" i="13"/>
  <c r="C100" i="2"/>
  <c r="D99" i="12" l="1"/>
  <c r="E99" i="12" s="1"/>
  <c r="F99" i="12" s="1"/>
  <c r="D99" i="2"/>
  <c r="E99" i="2" s="1"/>
  <c r="D99" i="13"/>
  <c r="E99" i="13" s="1"/>
  <c r="G99" i="12" l="1"/>
  <c r="F99" i="2"/>
  <c r="G99" i="2" s="1"/>
  <c r="F99" i="13"/>
  <c r="C35" i="4"/>
  <c r="B92" i="12"/>
  <c r="B92" i="2"/>
  <c r="B76" i="2"/>
  <c r="B60" i="2"/>
  <c r="H99" i="12" l="1"/>
  <c r="H99" i="2"/>
  <c r="C102" i="12"/>
  <c r="C102" i="13"/>
  <c r="G99" i="13"/>
  <c r="B76" i="12"/>
  <c r="B2" i="13"/>
  <c r="B60" i="12"/>
  <c r="I99" i="12" l="1"/>
  <c r="J99" i="12" s="1"/>
  <c r="I99" i="2"/>
  <c r="C102" i="2"/>
  <c r="C103" i="12"/>
  <c r="C103" i="13"/>
  <c r="H99" i="13"/>
  <c r="B60" i="13"/>
  <c r="B92" i="13"/>
  <c r="B76" i="13"/>
  <c r="C104" i="12" l="1"/>
  <c r="C103" i="2"/>
  <c r="J99" i="2"/>
  <c r="I99" i="13"/>
  <c r="C104" i="13"/>
  <c r="I41" i="13"/>
  <c r="H41" i="13"/>
  <c r="G41" i="13"/>
  <c r="K31" i="13"/>
  <c r="J31" i="13"/>
  <c r="I31" i="13"/>
  <c r="H31" i="13"/>
  <c r="G31" i="13"/>
  <c r="K28" i="13"/>
  <c r="J28" i="13"/>
  <c r="I28" i="13"/>
  <c r="H28" i="13"/>
  <c r="G28" i="13"/>
  <c r="A86" i="13"/>
  <c r="A85" i="13"/>
  <c r="A82" i="13"/>
  <c r="A71" i="13"/>
  <c r="B57" i="13"/>
  <c r="B54" i="13"/>
  <c r="B86" i="13" s="1"/>
  <c r="B53" i="13"/>
  <c r="B85" i="13" s="1"/>
  <c r="A45" i="13"/>
  <c r="A44" i="13"/>
  <c r="A42" i="13"/>
  <c r="A41" i="13"/>
  <c r="A39" i="13"/>
  <c r="J38" i="13"/>
  <c r="I38" i="13"/>
  <c r="H38" i="13"/>
  <c r="G38" i="13"/>
  <c r="A38" i="13"/>
  <c r="M37" i="13"/>
  <c r="L37" i="13"/>
  <c r="K37" i="13"/>
  <c r="J37" i="13"/>
  <c r="I37" i="13"/>
  <c r="H37" i="13"/>
  <c r="G37" i="13"/>
  <c r="A37" i="13"/>
  <c r="A35" i="13"/>
  <c r="K34" i="13"/>
  <c r="J34" i="13"/>
  <c r="I34" i="13"/>
  <c r="H34" i="13"/>
  <c r="A34" i="13"/>
  <c r="F29" i="13"/>
  <c r="F5" i="13" s="1"/>
  <c r="E29" i="13"/>
  <c r="E5" i="13" s="1"/>
  <c r="D29" i="13"/>
  <c r="D5" i="13" s="1"/>
  <c r="C28" i="13"/>
  <c r="C29" i="13" s="1"/>
  <c r="C5" i="13" s="1"/>
  <c r="B28" i="13"/>
  <c r="B29" i="13" s="1"/>
  <c r="B5" i="13" s="1"/>
  <c r="C27" i="13"/>
  <c r="B27" i="13"/>
  <c r="A27" i="13"/>
  <c r="F20" i="13"/>
  <c r="F44" i="13" s="1"/>
  <c r="F45" i="13" s="1"/>
  <c r="E20" i="13"/>
  <c r="E44" i="13" s="1"/>
  <c r="E45" i="13" s="1"/>
  <c r="D20" i="13"/>
  <c r="C20" i="13"/>
  <c r="C44" i="13" s="1"/>
  <c r="B20" i="13"/>
  <c r="B44" i="13" s="1"/>
  <c r="B45" i="13" s="1"/>
  <c r="F17" i="13"/>
  <c r="F41" i="13" s="1"/>
  <c r="F42" i="13" s="1"/>
  <c r="E17" i="13"/>
  <c r="E41" i="13" s="1"/>
  <c r="E42" i="13" s="1"/>
  <c r="D17" i="13"/>
  <c r="D41" i="13" s="1"/>
  <c r="D42" i="13" s="1"/>
  <c r="C17" i="13"/>
  <c r="C41" i="13" s="1"/>
  <c r="B17" i="13"/>
  <c r="F14" i="13"/>
  <c r="F38" i="13" s="1"/>
  <c r="F39" i="13" s="1"/>
  <c r="E14" i="13"/>
  <c r="E38" i="13" s="1"/>
  <c r="E39" i="13" s="1"/>
  <c r="D14" i="13"/>
  <c r="D38" i="13" s="1"/>
  <c r="D39" i="13" s="1"/>
  <c r="C14" i="13"/>
  <c r="C38" i="13" s="1"/>
  <c r="B14" i="13"/>
  <c r="F10" i="13"/>
  <c r="E10" i="13"/>
  <c r="E34" i="13" s="1"/>
  <c r="D10" i="13"/>
  <c r="C10" i="13"/>
  <c r="C34" i="13" s="1"/>
  <c r="B10" i="13"/>
  <c r="B34" i="13" s="1"/>
  <c r="F7" i="13"/>
  <c r="F31" i="13" s="1"/>
  <c r="F32" i="13" s="1"/>
  <c r="E7" i="13"/>
  <c r="E31" i="13" s="1"/>
  <c r="E32" i="13" s="1"/>
  <c r="D7" i="13"/>
  <c r="D31" i="13" s="1"/>
  <c r="D32" i="13" s="1"/>
  <c r="C7" i="13"/>
  <c r="C31" i="13" s="1"/>
  <c r="B7" i="13"/>
  <c r="B31" i="13" s="1"/>
  <c r="A7" i="13"/>
  <c r="A31" i="13" s="1"/>
  <c r="F4" i="13"/>
  <c r="F15" i="13" s="1"/>
  <c r="E4" i="13"/>
  <c r="D4" i="13"/>
  <c r="C4" i="13"/>
  <c r="B4" i="13"/>
  <c r="A4" i="13"/>
  <c r="F3" i="13"/>
  <c r="F13" i="13" s="1"/>
  <c r="F37" i="13" s="1"/>
  <c r="E3" i="13"/>
  <c r="E13" i="13" s="1"/>
  <c r="E37" i="13" s="1"/>
  <c r="D3" i="13"/>
  <c r="D13" i="13" s="1"/>
  <c r="D37" i="13" s="1"/>
  <c r="C3" i="13"/>
  <c r="C13" i="13" s="1"/>
  <c r="C37" i="13" s="1"/>
  <c r="B3" i="13"/>
  <c r="B13" i="13" s="1"/>
  <c r="B37" i="13" s="1"/>
  <c r="I41" i="12"/>
  <c r="H41" i="12"/>
  <c r="G41" i="12"/>
  <c r="K31" i="12"/>
  <c r="K35" i="12" s="1"/>
  <c r="J31" i="12"/>
  <c r="J35" i="12" s="1"/>
  <c r="I31" i="12"/>
  <c r="H31" i="12"/>
  <c r="H35" i="12" s="1"/>
  <c r="G31" i="12"/>
  <c r="K28" i="12"/>
  <c r="J28" i="12"/>
  <c r="I28" i="12"/>
  <c r="H28" i="12"/>
  <c r="G28" i="12"/>
  <c r="G29" i="12" s="1"/>
  <c r="A86" i="12"/>
  <c r="A85" i="12"/>
  <c r="A82" i="12"/>
  <c r="A71" i="12"/>
  <c r="B57" i="12"/>
  <c r="B54" i="12"/>
  <c r="B86" i="12" s="1"/>
  <c r="B53" i="12"/>
  <c r="B85" i="12" s="1"/>
  <c r="A45" i="12"/>
  <c r="A44" i="12"/>
  <c r="A42" i="12"/>
  <c r="A41" i="12"/>
  <c r="A39" i="12"/>
  <c r="J38" i="12"/>
  <c r="I38" i="12"/>
  <c r="H38" i="12"/>
  <c r="G38" i="12"/>
  <c r="A38" i="12"/>
  <c r="M37" i="12"/>
  <c r="L37" i="12"/>
  <c r="K37" i="12"/>
  <c r="J37" i="12"/>
  <c r="I37" i="12"/>
  <c r="H37" i="12"/>
  <c r="G37" i="12"/>
  <c r="A37" i="12"/>
  <c r="A35" i="12"/>
  <c r="A34" i="12"/>
  <c r="F29" i="12"/>
  <c r="F5" i="12" s="1"/>
  <c r="E29" i="12"/>
  <c r="E5" i="12" s="1"/>
  <c r="D29" i="12"/>
  <c r="D5" i="12" s="1"/>
  <c r="C28" i="12"/>
  <c r="C29" i="12" s="1"/>
  <c r="C5" i="12" s="1"/>
  <c r="B28" i="12"/>
  <c r="B29" i="12" s="1"/>
  <c r="B5" i="12" s="1"/>
  <c r="C27" i="12"/>
  <c r="B27" i="12"/>
  <c r="A27" i="12"/>
  <c r="F20" i="12"/>
  <c r="F44" i="12" s="1"/>
  <c r="F45" i="12" s="1"/>
  <c r="E20" i="12"/>
  <c r="E44" i="12" s="1"/>
  <c r="E45" i="12" s="1"/>
  <c r="D20" i="12"/>
  <c r="D44" i="12" s="1"/>
  <c r="D45" i="12" s="1"/>
  <c r="C20" i="12"/>
  <c r="C44" i="12" s="1"/>
  <c r="C45" i="12" s="1"/>
  <c r="B20" i="12"/>
  <c r="B44" i="12" s="1"/>
  <c r="F17" i="12"/>
  <c r="F41" i="12" s="1"/>
  <c r="F42" i="12" s="1"/>
  <c r="E17" i="12"/>
  <c r="E41" i="12" s="1"/>
  <c r="E42" i="12" s="1"/>
  <c r="D17" i="12"/>
  <c r="D41" i="12" s="1"/>
  <c r="D42" i="12" s="1"/>
  <c r="C17" i="12"/>
  <c r="C41" i="12" s="1"/>
  <c r="B17" i="12"/>
  <c r="F14" i="12"/>
  <c r="E14" i="12"/>
  <c r="E38" i="12" s="1"/>
  <c r="E39" i="12" s="1"/>
  <c r="D14" i="12"/>
  <c r="C14" i="12"/>
  <c r="C38" i="12" s="1"/>
  <c r="B14" i="12"/>
  <c r="B38" i="12" s="1"/>
  <c r="F10" i="12"/>
  <c r="F34" i="12" s="1"/>
  <c r="E10" i="12"/>
  <c r="D10" i="12"/>
  <c r="D34" i="12" s="1"/>
  <c r="C10" i="12"/>
  <c r="B10" i="12"/>
  <c r="B34" i="12" s="1"/>
  <c r="F7" i="12"/>
  <c r="F31" i="12" s="1"/>
  <c r="F32" i="12" s="1"/>
  <c r="E7" i="12"/>
  <c r="D7" i="12"/>
  <c r="D31" i="12" s="1"/>
  <c r="D32" i="12" s="1"/>
  <c r="C7" i="12"/>
  <c r="C31" i="12" s="1"/>
  <c r="B7" i="12"/>
  <c r="A7" i="12"/>
  <c r="A31" i="12" s="1"/>
  <c r="F4" i="12"/>
  <c r="E4" i="12"/>
  <c r="D4" i="12"/>
  <c r="C4" i="12"/>
  <c r="B4" i="12"/>
  <c r="A4" i="12"/>
  <c r="F3" i="12"/>
  <c r="F13" i="12" s="1"/>
  <c r="F37" i="12" s="1"/>
  <c r="E3" i="12"/>
  <c r="E13" i="12" s="1"/>
  <c r="E37" i="12" s="1"/>
  <c r="D3" i="12"/>
  <c r="D13" i="12" s="1"/>
  <c r="D37" i="12" s="1"/>
  <c r="C3" i="12"/>
  <c r="C13" i="12" s="1"/>
  <c r="C37" i="12" s="1"/>
  <c r="B3" i="12"/>
  <c r="B13" i="12" s="1"/>
  <c r="B37" i="12" s="1"/>
  <c r="A85" i="2"/>
  <c r="A86" i="2"/>
  <c r="A82" i="2"/>
  <c r="A71" i="2"/>
  <c r="B57" i="2"/>
  <c r="B54" i="2"/>
  <c r="B86" i="2" s="1"/>
  <c r="B53" i="2"/>
  <c r="B85" i="2" s="1"/>
  <c r="C81" i="4"/>
  <c r="C80" i="4"/>
  <c r="C73" i="4"/>
  <c r="C62" i="4"/>
  <c r="C67" i="4" s="1"/>
  <c r="C83" i="4" s="1"/>
  <c r="B81" i="12" s="1"/>
  <c r="C53" i="4"/>
  <c r="C52" i="4"/>
  <c r="C45" i="4"/>
  <c r="C34" i="4"/>
  <c r="C39" i="4" s="1"/>
  <c r="C21" i="4"/>
  <c r="I35" i="12" l="1"/>
  <c r="I32" i="12"/>
  <c r="B81" i="13"/>
  <c r="B81" i="2"/>
  <c r="H35" i="13"/>
  <c r="H32" i="13"/>
  <c r="K32" i="13"/>
  <c r="J29" i="13"/>
  <c r="C104" i="2"/>
  <c r="C105" i="12"/>
  <c r="J99" i="13"/>
  <c r="C105" i="13"/>
  <c r="J29" i="12"/>
  <c r="I42" i="12"/>
  <c r="C39" i="12"/>
  <c r="G32" i="12"/>
  <c r="G39" i="12"/>
  <c r="D11" i="13"/>
  <c r="G42" i="13"/>
  <c r="K35" i="13"/>
  <c r="C39" i="13"/>
  <c r="D8" i="13"/>
  <c r="B18" i="13"/>
  <c r="J35" i="13"/>
  <c r="H29" i="13"/>
  <c r="C42" i="13"/>
  <c r="E8" i="13"/>
  <c r="D21" i="13"/>
  <c r="H42" i="13"/>
  <c r="G39" i="13"/>
  <c r="B32" i="13"/>
  <c r="C32" i="13"/>
  <c r="F11" i="13"/>
  <c r="B21" i="13"/>
  <c r="H39" i="13"/>
  <c r="B15" i="13"/>
  <c r="I35" i="13"/>
  <c r="J39" i="13"/>
  <c r="E35" i="13"/>
  <c r="C11" i="13"/>
  <c r="E11" i="13"/>
  <c r="C15" i="13"/>
  <c r="C45" i="13"/>
  <c r="D34" i="13"/>
  <c r="D35" i="13" s="1"/>
  <c r="C35" i="13"/>
  <c r="F34" i="13"/>
  <c r="F35" i="13" s="1"/>
  <c r="B41" i="13"/>
  <c r="B42" i="13" s="1"/>
  <c r="C8" i="13"/>
  <c r="B11" i="13"/>
  <c r="K29" i="12"/>
  <c r="E11" i="12"/>
  <c r="B11" i="12"/>
  <c r="C42" i="12"/>
  <c r="C32" i="12"/>
  <c r="F11" i="12"/>
  <c r="H29" i="12"/>
  <c r="G35" i="12"/>
  <c r="B39" i="12"/>
  <c r="F35" i="12"/>
  <c r="C21" i="12"/>
  <c r="E8" i="12"/>
  <c r="H32" i="12"/>
  <c r="G42" i="12"/>
  <c r="D15" i="12"/>
  <c r="C11" i="12"/>
  <c r="E34" i="12"/>
  <c r="B31" i="12"/>
  <c r="B32" i="12" s="1"/>
  <c r="B15" i="12"/>
  <c r="E18" i="12"/>
  <c r="D21" i="12"/>
  <c r="H39" i="12"/>
  <c r="D35" i="12"/>
  <c r="C15" i="12"/>
  <c r="F18" i="12"/>
  <c r="E21" i="12"/>
  <c r="F15" i="12"/>
  <c r="B45" i="12"/>
  <c r="G45" i="12" s="1"/>
  <c r="F21" i="12"/>
  <c r="I29" i="12"/>
  <c r="D8" i="12"/>
  <c r="B18" i="12"/>
  <c r="H42" i="12"/>
  <c r="I32" i="13"/>
  <c r="J32" i="13"/>
  <c r="I29" i="13"/>
  <c r="I39" i="13"/>
  <c r="I42" i="13"/>
  <c r="B35" i="13"/>
  <c r="F8" i="13"/>
  <c r="E15" i="13"/>
  <c r="C18" i="13"/>
  <c r="D15" i="13"/>
  <c r="D18" i="13"/>
  <c r="G32" i="13"/>
  <c r="B38" i="13"/>
  <c r="B39" i="13" s="1"/>
  <c r="E18" i="13"/>
  <c r="C21" i="13"/>
  <c r="G29" i="13"/>
  <c r="D44" i="13"/>
  <c r="D45" i="13" s="1"/>
  <c r="K29" i="13"/>
  <c r="F18" i="13"/>
  <c r="B8" i="13"/>
  <c r="E21" i="13"/>
  <c r="F21" i="13"/>
  <c r="K32" i="12"/>
  <c r="J39" i="12"/>
  <c r="J32" i="12"/>
  <c r="E31" i="12"/>
  <c r="E32" i="12" s="1"/>
  <c r="I39" i="12"/>
  <c r="F8" i="12"/>
  <c r="D11" i="12"/>
  <c r="E15" i="12"/>
  <c r="C18" i="12"/>
  <c r="C34" i="12"/>
  <c r="C35" i="12" s="1"/>
  <c r="F38" i="12"/>
  <c r="F39" i="12" s="1"/>
  <c r="D18" i="12"/>
  <c r="B21" i="12"/>
  <c r="B41" i="12"/>
  <c r="B42" i="12" s="1"/>
  <c r="D38" i="12"/>
  <c r="D39" i="12" s="1"/>
  <c r="B8" i="12"/>
  <c r="C8" i="12"/>
  <c r="C55" i="4"/>
  <c r="L29" i="12" l="1"/>
  <c r="C105" i="2"/>
  <c r="C106" i="12"/>
  <c r="C106" i="13"/>
  <c r="B65" i="12"/>
  <c r="C114" i="12" s="1"/>
  <c r="B65" i="2"/>
  <c r="C114" i="2" s="1"/>
  <c r="B65" i="13"/>
  <c r="C114" i="13" s="1"/>
  <c r="L35" i="13"/>
  <c r="M35" i="13" s="1"/>
  <c r="J42" i="13"/>
  <c r="J41" i="13" s="1"/>
  <c r="K39" i="13"/>
  <c r="L39" i="13" s="1"/>
  <c r="H45" i="13"/>
  <c r="H44" i="13" s="1"/>
  <c r="H48" i="13" s="1"/>
  <c r="J42" i="12"/>
  <c r="J41" i="12" s="1"/>
  <c r="B35" i="12"/>
  <c r="K39" i="12"/>
  <c r="L39" i="12" s="1"/>
  <c r="L32" i="12"/>
  <c r="H45" i="12"/>
  <c r="K42" i="13"/>
  <c r="L42" i="13" s="1"/>
  <c r="L35" i="12"/>
  <c r="E35" i="12"/>
  <c r="G44" i="12"/>
  <c r="I45" i="12" l="1"/>
  <c r="L28" i="12"/>
  <c r="M29" i="12"/>
  <c r="N35" i="13"/>
  <c r="O35" i="13" s="1"/>
  <c r="P35" i="13" s="1"/>
  <c r="C107" i="12"/>
  <c r="C106" i="2"/>
  <c r="C107" i="13"/>
  <c r="K38" i="12"/>
  <c r="K42" i="12"/>
  <c r="L42" i="12" s="1"/>
  <c r="G48" i="13"/>
  <c r="G80" i="13" s="1"/>
  <c r="K38" i="13"/>
  <c r="L31" i="13"/>
  <c r="M31" i="13" s="1"/>
  <c r="M34" i="13" s="1"/>
  <c r="I44" i="13"/>
  <c r="I48" i="13" s="1"/>
  <c r="L28" i="13"/>
  <c r="M28" i="13" s="1"/>
  <c r="M32" i="12"/>
  <c r="N32" i="12" s="1"/>
  <c r="L31" i="12"/>
  <c r="H44" i="12"/>
  <c r="H48" i="12" s="1"/>
  <c r="H80" i="12" s="1"/>
  <c r="M42" i="13"/>
  <c r="N42" i="13" s="1"/>
  <c r="K41" i="13"/>
  <c r="H80" i="13"/>
  <c r="H64" i="13"/>
  <c r="M39" i="13"/>
  <c r="M35" i="12"/>
  <c r="N35" i="12" s="1"/>
  <c r="M39" i="12"/>
  <c r="G80" i="12"/>
  <c r="G64" i="12"/>
  <c r="C17" i="4"/>
  <c r="C27" i="4" s="1"/>
  <c r="C4" i="4"/>
  <c r="C9" i="4"/>
  <c r="C8" i="4"/>
  <c r="C5" i="4"/>
  <c r="C3" i="4"/>
  <c r="M28" i="12" l="1"/>
  <c r="L41" i="12"/>
  <c r="N29" i="12"/>
  <c r="O29" i="12" s="1"/>
  <c r="P29" i="12" s="1"/>
  <c r="I44" i="12"/>
  <c r="I48" i="12" s="1"/>
  <c r="I64" i="12" s="1"/>
  <c r="L38" i="12"/>
  <c r="J45" i="12"/>
  <c r="O35" i="12"/>
  <c r="P35" i="12" s="1"/>
  <c r="J44" i="13"/>
  <c r="J48" i="13" s="1"/>
  <c r="J80" i="13" s="1"/>
  <c r="M42" i="12"/>
  <c r="M41" i="12" s="1"/>
  <c r="C108" i="12"/>
  <c r="C107" i="2"/>
  <c r="C108" i="13"/>
  <c r="K41" i="12"/>
  <c r="G64" i="13"/>
  <c r="L34" i="13"/>
  <c r="N28" i="13"/>
  <c r="N31" i="13"/>
  <c r="O31" i="13" s="1"/>
  <c r="K45" i="13"/>
  <c r="M31" i="12"/>
  <c r="N31" i="12" s="1"/>
  <c r="L34" i="12"/>
  <c r="O32" i="12"/>
  <c r="P32" i="12" s="1"/>
  <c r="H64" i="12"/>
  <c r="I80" i="13"/>
  <c r="I64" i="13"/>
  <c r="N39" i="13"/>
  <c r="M38" i="13"/>
  <c r="O42" i="13"/>
  <c r="P42" i="13" s="1"/>
  <c r="L41" i="13"/>
  <c r="L38" i="13"/>
  <c r="I80" i="12"/>
  <c r="M38" i="12"/>
  <c r="N39" i="12"/>
  <c r="C20" i="4"/>
  <c r="C10" i="4"/>
  <c r="C6" i="4"/>
  <c r="I41" i="2"/>
  <c r="I42" i="2" s="1"/>
  <c r="H41" i="2"/>
  <c r="H42" i="2" s="1"/>
  <c r="G41" i="2"/>
  <c r="G42" i="2" s="1"/>
  <c r="G38" i="2"/>
  <c r="G39" i="2" s="1"/>
  <c r="H38" i="2"/>
  <c r="H39" i="2" s="1"/>
  <c r="I38" i="2"/>
  <c r="I39" i="2" s="1"/>
  <c r="J38" i="2"/>
  <c r="J39" i="2" s="1"/>
  <c r="H23" i="9"/>
  <c r="G37" i="2"/>
  <c r="H37" i="2"/>
  <c r="I37" i="2"/>
  <c r="J37" i="2"/>
  <c r="K37" i="2"/>
  <c r="L37" i="2"/>
  <c r="M37" i="2"/>
  <c r="A37" i="2"/>
  <c r="A38" i="2"/>
  <c r="A39" i="2"/>
  <c r="A41" i="2"/>
  <c r="A42" i="2"/>
  <c r="A44" i="2"/>
  <c r="A45" i="2"/>
  <c r="A27" i="2"/>
  <c r="G34" i="2"/>
  <c r="H34" i="2"/>
  <c r="I34" i="2"/>
  <c r="J34" i="2"/>
  <c r="K34" i="2"/>
  <c r="A34" i="2"/>
  <c r="A35" i="2"/>
  <c r="G31" i="2"/>
  <c r="H31" i="2"/>
  <c r="I31" i="2"/>
  <c r="J31" i="2"/>
  <c r="K31" i="2"/>
  <c r="B20" i="2"/>
  <c r="B44" i="2" s="1"/>
  <c r="C20" i="2"/>
  <c r="C44" i="2" s="1"/>
  <c r="D20" i="2"/>
  <c r="D44" i="2" s="1"/>
  <c r="D45" i="2" s="1"/>
  <c r="E20" i="2"/>
  <c r="E44" i="2" s="1"/>
  <c r="E45" i="2" s="1"/>
  <c r="F20" i="2"/>
  <c r="F44" i="2" s="1"/>
  <c r="F45" i="2" s="1"/>
  <c r="B17" i="2"/>
  <c r="C17" i="2"/>
  <c r="C41" i="2" s="1"/>
  <c r="D17" i="2"/>
  <c r="E17" i="2"/>
  <c r="E41" i="2" s="1"/>
  <c r="E42" i="2" s="1"/>
  <c r="F17" i="2"/>
  <c r="F41" i="2" s="1"/>
  <c r="F42" i="2" s="1"/>
  <c r="B14" i="2"/>
  <c r="B38" i="2" s="1"/>
  <c r="C14" i="2"/>
  <c r="C38" i="2" s="1"/>
  <c r="D14" i="2"/>
  <c r="D38" i="2" s="1"/>
  <c r="D39" i="2" s="1"/>
  <c r="E14" i="2"/>
  <c r="F14" i="2"/>
  <c r="B10" i="2"/>
  <c r="B34" i="2" s="1"/>
  <c r="C10" i="2"/>
  <c r="D10" i="2"/>
  <c r="D34" i="2" s="1"/>
  <c r="E10" i="2"/>
  <c r="F10" i="2"/>
  <c r="A7" i="2"/>
  <c r="A31" i="2" s="1"/>
  <c r="B7" i="2"/>
  <c r="C7" i="2"/>
  <c r="D7" i="2"/>
  <c r="E7" i="2"/>
  <c r="F7" i="2"/>
  <c r="F31" i="2" s="1"/>
  <c r="F32" i="2" s="1"/>
  <c r="B13" i="2"/>
  <c r="B37" i="2" s="1"/>
  <c r="C3" i="2"/>
  <c r="C13" i="2" s="1"/>
  <c r="C37" i="2" s="1"/>
  <c r="D3" i="2"/>
  <c r="D13" i="2" s="1"/>
  <c r="D37" i="2" s="1"/>
  <c r="E3" i="2"/>
  <c r="E13" i="2" s="1"/>
  <c r="E37" i="2" s="1"/>
  <c r="F3" i="2"/>
  <c r="F13" i="2" s="1"/>
  <c r="F37" i="2" s="1"/>
  <c r="A4" i="2"/>
  <c r="B4" i="2"/>
  <c r="C4" i="2"/>
  <c r="D4" i="2"/>
  <c r="D21" i="2" s="1"/>
  <c r="E4" i="2"/>
  <c r="F4" i="2"/>
  <c r="B27" i="2"/>
  <c r="C27" i="2"/>
  <c r="B28" i="2"/>
  <c r="B29" i="2" s="1"/>
  <c r="B5" i="2" s="1"/>
  <c r="C28" i="2"/>
  <c r="C29" i="2" s="1"/>
  <c r="C5" i="2" s="1"/>
  <c r="K45" i="12" l="1"/>
  <c r="L45" i="12" s="1"/>
  <c r="L44" i="12" s="1"/>
  <c r="L48" i="12" s="1"/>
  <c r="N28" i="12"/>
  <c r="O28" i="12" s="1"/>
  <c r="J44" i="12"/>
  <c r="J48" i="12" s="1"/>
  <c r="J80" i="12" s="1"/>
  <c r="J64" i="13"/>
  <c r="P28" i="12"/>
  <c r="N42" i="12"/>
  <c r="N41" i="12" s="1"/>
  <c r="C108" i="2"/>
  <c r="C110" i="12"/>
  <c r="C110" i="13"/>
  <c r="M34" i="12"/>
  <c r="K44" i="13"/>
  <c r="K48" i="13" s="1"/>
  <c r="K80" i="13" s="1"/>
  <c r="N34" i="13"/>
  <c r="O28" i="13"/>
  <c r="P28" i="13" s="1"/>
  <c r="O31" i="12"/>
  <c r="P31" i="12" s="1"/>
  <c r="P34" i="12" s="1"/>
  <c r="N34" i="12"/>
  <c r="B21" i="2"/>
  <c r="K35" i="2"/>
  <c r="B8" i="2"/>
  <c r="E11" i="2"/>
  <c r="I35" i="2"/>
  <c r="C15" i="2"/>
  <c r="C11" i="2"/>
  <c r="C45" i="2"/>
  <c r="B11" i="2"/>
  <c r="B45" i="2"/>
  <c r="L44" i="13"/>
  <c r="L48" i="13" s="1"/>
  <c r="P31" i="13"/>
  <c r="O34" i="13"/>
  <c r="O39" i="13"/>
  <c r="M45" i="13"/>
  <c r="M44" i="13" s="1"/>
  <c r="N38" i="13"/>
  <c r="M41" i="13"/>
  <c r="K44" i="12"/>
  <c r="K48" i="12" s="1"/>
  <c r="O39" i="12"/>
  <c r="N38" i="12"/>
  <c r="E8" i="2"/>
  <c r="C39" i="2"/>
  <c r="E18" i="2"/>
  <c r="I32" i="2"/>
  <c r="C34" i="2"/>
  <c r="B31" i="2"/>
  <c r="B35" i="2" s="1"/>
  <c r="J42" i="2"/>
  <c r="J41" i="2" s="1"/>
  <c r="G32" i="2"/>
  <c r="F15" i="2"/>
  <c r="D18" i="2"/>
  <c r="H32" i="2"/>
  <c r="F11" i="2"/>
  <c r="E15" i="2"/>
  <c r="C42" i="2"/>
  <c r="K32" i="2"/>
  <c r="H35" i="2"/>
  <c r="J35" i="2"/>
  <c r="J32" i="2"/>
  <c r="E38" i="2"/>
  <c r="E39" i="2" s="1"/>
  <c r="B39" i="2"/>
  <c r="D11" i="2"/>
  <c r="F38" i="2"/>
  <c r="F39" i="2" s="1"/>
  <c r="D15" i="2"/>
  <c r="F18" i="2"/>
  <c r="C8" i="2"/>
  <c r="B18" i="2"/>
  <c r="E31" i="2"/>
  <c r="E32" i="2" s="1"/>
  <c r="F34" i="2"/>
  <c r="F35" i="2" s="1"/>
  <c r="G35" i="2"/>
  <c r="D41" i="2"/>
  <c r="D42" i="2" s="1"/>
  <c r="B15" i="2"/>
  <c r="C18" i="2"/>
  <c r="D31" i="2"/>
  <c r="D32" i="2" s="1"/>
  <c r="E34" i="2"/>
  <c r="E21" i="2"/>
  <c r="C31" i="2"/>
  <c r="C32" i="2" s="1"/>
  <c r="B41" i="2"/>
  <c r="B42" i="2" s="1"/>
  <c r="C22" i="4"/>
  <c r="C24" i="4" s="1"/>
  <c r="F21" i="2"/>
  <c r="F8" i="2"/>
  <c r="C21" i="2"/>
  <c r="D8" i="2"/>
  <c r="J64" i="12" l="1"/>
  <c r="O42" i="12"/>
  <c r="O41" i="12" s="1"/>
  <c r="G45" i="2"/>
  <c r="K64" i="13"/>
  <c r="C110" i="2"/>
  <c r="C111" i="12"/>
  <c r="C111" i="13"/>
  <c r="O34" i="12"/>
  <c r="C35" i="2"/>
  <c r="K42" i="2"/>
  <c r="K41" i="2" s="1"/>
  <c r="G44" i="2"/>
  <c r="G64" i="2" s="1"/>
  <c r="B32" i="2"/>
  <c r="M48" i="13"/>
  <c r="M80" i="13" s="1"/>
  <c r="P34" i="13"/>
  <c r="O38" i="13"/>
  <c r="P39" i="13"/>
  <c r="L80" i="13"/>
  <c r="L64" i="13"/>
  <c r="N41" i="13"/>
  <c r="M45" i="12"/>
  <c r="L80" i="12"/>
  <c r="L64" i="12"/>
  <c r="K80" i="12"/>
  <c r="K64" i="12"/>
  <c r="P39" i="12"/>
  <c r="P38" i="12" s="1"/>
  <c r="O38" i="12"/>
  <c r="L35" i="2"/>
  <c r="M35" i="2" s="1"/>
  <c r="E35" i="2"/>
  <c r="D35" i="2"/>
  <c r="K38" i="2"/>
  <c r="L39" i="2"/>
  <c r="C25" i="4"/>
  <c r="N45" i="12" l="1"/>
  <c r="P42" i="12"/>
  <c r="P41" i="12" s="1"/>
  <c r="C112" i="12"/>
  <c r="C111" i="2"/>
  <c r="C112" i="13"/>
  <c r="N44" i="12"/>
  <c r="N48" i="12" s="1"/>
  <c r="L42" i="2"/>
  <c r="M42" i="2" s="1"/>
  <c r="N42" i="2" s="1"/>
  <c r="G80" i="2"/>
  <c r="H45" i="2"/>
  <c r="H44" i="2" s="1"/>
  <c r="H48" i="2" s="1"/>
  <c r="H80" i="2" s="1"/>
  <c r="N35" i="2"/>
  <c r="O35" i="2" s="1"/>
  <c r="M64" i="13"/>
  <c r="N44" i="13"/>
  <c r="N48" i="13" s="1"/>
  <c r="O45" i="13"/>
  <c r="O44" i="13" s="1"/>
  <c r="P41" i="13"/>
  <c r="O41" i="13"/>
  <c r="M44" i="12"/>
  <c r="M48" i="12" s="1"/>
  <c r="M39" i="2"/>
  <c r="O42" i="2" l="1"/>
  <c r="J45" i="2"/>
  <c r="I45" i="2"/>
  <c r="B49" i="12"/>
  <c r="C109" i="12" s="1"/>
  <c r="B49" i="13"/>
  <c r="C109" i="13" s="1"/>
  <c r="B49" i="2"/>
  <c r="C109" i="2" s="1"/>
  <c r="C112" i="2"/>
  <c r="C113" i="12"/>
  <c r="C113" i="13"/>
  <c r="N80" i="12"/>
  <c r="N64" i="12"/>
  <c r="O45" i="12"/>
  <c r="H64" i="2"/>
  <c r="P35" i="2"/>
  <c r="I44" i="2"/>
  <c r="I48" i="2" s="1"/>
  <c r="I64" i="2" s="1"/>
  <c r="O48" i="13"/>
  <c r="O80" i="13" s="1"/>
  <c r="N80" i="13"/>
  <c r="N64" i="13"/>
  <c r="P44" i="13"/>
  <c r="P38" i="13"/>
  <c r="P48" i="13" s="1"/>
  <c r="M80" i="12"/>
  <c r="M64" i="12"/>
  <c r="N39" i="2"/>
  <c r="P42" i="2"/>
  <c r="P45" i="12" l="1"/>
  <c r="P44" i="12" s="1"/>
  <c r="P48" i="12" s="1"/>
  <c r="P80" i="13"/>
  <c r="P81" i="13" s="1"/>
  <c r="I113" i="13"/>
  <c r="C115" i="12"/>
  <c r="C113" i="2"/>
  <c r="C115" i="13"/>
  <c r="O44" i="12"/>
  <c r="O48" i="12" s="1"/>
  <c r="J44" i="2"/>
  <c r="J48" i="2" s="1"/>
  <c r="J64" i="2" s="1"/>
  <c r="I80" i="2"/>
  <c r="O64" i="13"/>
  <c r="O39" i="2"/>
  <c r="P80" i="12" l="1"/>
  <c r="P64" i="12"/>
  <c r="B52" i="12"/>
  <c r="B55" i="12" s="1"/>
  <c r="B58" i="12" s="1"/>
  <c r="H109" i="12"/>
  <c r="D113" i="13"/>
  <c r="P49" i="13"/>
  <c r="B52" i="13" s="1"/>
  <c r="B55" i="13" s="1"/>
  <c r="B58" i="13" s="1"/>
  <c r="H110" i="12"/>
  <c r="D103" i="12"/>
  <c r="O64" i="12"/>
  <c r="J113" i="12"/>
  <c r="D105" i="12"/>
  <c r="G100" i="12"/>
  <c r="D112" i="12"/>
  <c r="E109" i="12"/>
  <c r="I102" i="12"/>
  <c r="G114" i="12"/>
  <c r="G112" i="12"/>
  <c r="G106" i="12"/>
  <c r="F113" i="12"/>
  <c r="H111" i="12"/>
  <c r="H108" i="12"/>
  <c r="F106" i="12"/>
  <c r="H104" i="12"/>
  <c r="F102" i="12"/>
  <c r="H105" i="12"/>
  <c r="J100" i="12"/>
  <c r="I106" i="12"/>
  <c r="J106" i="12"/>
  <c r="J111" i="12"/>
  <c r="E102" i="12"/>
  <c r="E108" i="12"/>
  <c r="J102" i="12"/>
  <c r="I113" i="12"/>
  <c r="E111" i="12"/>
  <c r="H107" i="12"/>
  <c r="E106" i="12"/>
  <c r="I109" i="12"/>
  <c r="F100" i="12"/>
  <c r="G107" i="12"/>
  <c r="I110" i="12"/>
  <c r="I103" i="12"/>
  <c r="F108" i="12"/>
  <c r="H100" i="12"/>
  <c r="G108" i="12"/>
  <c r="D104" i="12"/>
  <c r="G111" i="12"/>
  <c r="E104" i="12"/>
  <c r="I112" i="12"/>
  <c r="J113" i="13"/>
  <c r="H113" i="12"/>
  <c r="J110" i="12"/>
  <c r="I107" i="12"/>
  <c r="J105" i="12"/>
  <c r="G103" i="12"/>
  <c r="E100" i="12"/>
  <c r="I114" i="12"/>
  <c r="O80" i="12"/>
  <c r="G101" i="12"/>
  <c r="F109" i="12"/>
  <c r="D114" i="12"/>
  <c r="D101" i="13"/>
  <c r="E101" i="13"/>
  <c r="F101" i="13"/>
  <c r="F100" i="13"/>
  <c r="G100" i="13"/>
  <c r="D100" i="13"/>
  <c r="E100" i="13"/>
  <c r="G102" i="13"/>
  <c r="E102" i="13"/>
  <c r="D102" i="13"/>
  <c r="F102" i="13"/>
  <c r="G101" i="13"/>
  <c r="H103" i="13"/>
  <c r="E103" i="13"/>
  <c r="I103" i="13"/>
  <c r="D103" i="13"/>
  <c r="F103" i="13"/>
  <c r="G103" i="13"/>
  <c r="H101" i="13"/>
  <c r="H100" i="13"/>
  <c r="H102" i="13"/>
  <c r="I102" i="13"/>
  <c r="I104" i="13"/>
  <c r="F104" i="13"/>
  <c r="H109" i="13"/>
  <c r="I109" i="13"/>
  <c r="E104" i="13"/>
  <c r="H104" i="13"/>
  <c r="D109" i="13"/>
  <c r="D104" i="13"/>
  <c r="G109" i="13"/>
  <c r="G104" i="13"/>
  <c r="E109" i="13"/>
  <c r="I101" i="13"/>
  <c r="F109" i="13"/>
  <c r="J104" i="13"/>
  <c r="I100" i="13"/>
  <c r="J101" i="13"/>
  <c r="D105" i="13"/>
  <c r="F105" i="13"/>
  <c r="J109" i="13"/>
  <c r="E105" i="13"/>
  <c r="H105" i="13"/>
  <c r="J105" i="13"/>
  <c r="J100" i="13"/>
  <c r="J102" i="13"/>
  <c r="J103" i="13"/>
  <c r="I105" i="13"/>
  <c r="G105" i="13"/>
  <c r="J114" i="13"/>
  <c r="E114" i="13"/>
  <c r="I114" i="13"/>
  <c r="F114" i="13"/>
  <c r="F106" i="13"/>
  <c r="H114" i="13"/>
  <c r="G106" i="13"/>
  <c r="G114" i="13"/>
  <c r="H106" i="13"/>
  <c r="I106" i="13"/>
  <c r="J106" i="13"/>
  <c r="D114" i="13"/>
  <c r="E106" i="13"/>
  <c r="D106" i="13"/>
  <c r="G107" i="13"/>
  <c r="H107" i="13"/>
  <c r="I107" i="13"/>
  <c r="D107" i="13"/>
  <c r="E107" i="13"/>
  <c r="F107" i="13"/>
  <c r="J107" i="13"/>
  <c r="H108" i="13"/>
  <c r="J108" i="13"/>
  <c r="I108" i="13"/>
  <c r="D108" i="13"/>
  <c r="E108" i="13"/>
  <c r="G108" i="13"/>
  <c r="F108" i="13"/>
  <c r="F110" i="13"/>
  <c r="G110" i="13"/>
  <c r="I110" i="13"/>
  <c r="H110" i="13"/>
  <c r="J110" i="13"/>
  <c r="D110" i="13"/>
  <c r="E110" i="13"/>
  <c r="E111" i="13"/>
  <c r="G111" i="13"/>
  <c r="F111" i="13"/>
  <c r="H111" i="13"/>
  <c r="D111" i="13"/>
  <c r="I111" i="13"/>
  <c r="J111" i="13"/>
  <c r="D112" i="13"/>
  <c r="F112" i="13"/>
  <c r="G112" i="13"/>
  <c r="E112" i="13"/>
  <c r="H112" i="13"/>
  <c r="J112" i="13"/>
  <c r="I112" i="13"/>
  <c r="J112" i="12"/>
  <c r="F112" i="12"/>
  <c r="G113" i="12"/>
  <c r="D111" i="12"/>
  <c r="E110" i="12"/>
  <c r="D108" i="12"/>
  <c r="F107" i="12"/>
  <c r="F114" i="12"/>
  <c r="F105" i="12"/>
  <c r="I104" i="12"/>
  <c r="G104" i="12"/>
  <c r="F103" i="12"/>
  <c r="D102" i="12"/>
  <c r="J101" i="12"/>
  <c r="I101" i="12"/>
  <c r="G113" i="13"/>
  <c r="F113" i="13"/>
  <c r="I111" i="12"/>
  <c r="G110" i="12"/>
  <c r="I108" i="12"/>
  <c r="D107" i="12"/>
  <c r="H106" i="12"/>
  <c r="E105" i="12"/>
  <c r="D109" i="12"/>
  <c r="J109" i="12"/>
  <c r="E103" i="12"/>
  <c r="H101" i="12"/>
  <c r="D101" i="12"/>
  <c r="B84" i="13"/>
  <c r="B87" i="13" s="1"/>
  <c r="B90" i="13" s="1"/>
  <c r="I126" i="13" s="1"/>
  <c r="E113" i="13"/>
  <c r="D113" i="12"/>
  <c r="F111" i="12"/>
  <c r="F110" i="12"/>
  <c r="E107" i="12"/>
  <c r="J114" i="12"/>
  <c r="D106" i="12"/>
  <c r="I105" i="12"/>
  <c r="G109" i="12"/>
  <c r="J104" i="12"/>
  <c r="J103" i="12"/>
  <c r="G102" i="12"/>
  <c r="I100" i="12"/>
  <c r="E101" i="12"/>
  <c r="H113" i="13"/>
  <c r="E113" i="12"/>
  <c r="E112" i="12"/>
  <c r="D110" i="12"/>
  <c r="J108" i="12"/>
  <c r="J107" i="12"/>
  <c r="H114" i="12"/>
  <c r="E114" i="12"/>
  <c r="G105" i="12"/>
  <c r="F104" i="12"/>
  <c r="H103" i="12"/>
  <c r="H102" i="12"/>
  <c r="D100" i="12"/>
  <c r="F101" i="12"/>
  <c r="H112" i="12"/>
  <c r="C115" i="2"/>
  <c r="I115" i="12"/>
  <c r="J115" i="12"/>
  <c r="D115" i="12"/>
  <c r="F115" i="12"/>
  <c r="G115" i="12"/>
  <c r="H115" i="12"/>
  <c r="E115" i="12"/>
  <c r="C116" i="12"/>
  <c r="I115" i="13"/>
  <c r="D115" i="13"/>
  <c r="C116" i="13"/>
  <c r="J115" i="13"/>
  <c r="E115" i="13"/>
  <c r="H115" i="13"/>
  <c r="F115" i="13"/>
  <c r="G115" i="13"/>
  <c r="P81" i="12"/>
  <c r="B84" i="12" s="1"/>
  <c r="B87" i="12" s="1"/>
  <c r="B90" i="12" s="1"/>
  <c r="J80" i="2"/>
  <c r="P64" i="13"/>
  <c r="K45" i="2"/>
  <c r="P65" i="12"/>
  <c r="P39" i="2"/>
  <c r="K44" i="2" l="1"/>
  <c r="K48" i="2" s="1"/>
  <c r="K64" i="2" s="1"/>
  <c r="L45" i="2"/>
  <c r="M45" i="2" s="1"/>
  <c r="N45" i="2" s="1"/>
  <c r="A61" i="13"/>
  <c r="I168" i="13"/>
  <c r="C168" i="13"/>
  <c r="B61" i="12"/>
  <c r="I164" i="12"/>
  <c r="E164" i="12"/>
  <c r="I146" i="12"/>
  <c r="E146" i="12"/>
  <c r="P65" i="13"/>
  <c r="B68" i="13" s="1"/>
  <c r="B71" i="13" s="1"/>
  <c r="B74" i="13" s="1"/>
  <c r="B68" i="12"/>
  <c r="B71" i="12" s="1"/>
  <c r="B74" i="12" s="1"/>
  <c r="A61" i="12"/>
  <c r="C127" i="13"/>
  <c r="C99" i="13"/>
  <c r="B62" i="12"/>
  <c r="B94" i="13"/>
  <c r="B93" i="13"/>
  <c r="B62" i="13"/>
  <c r="B61" i="13"/>
  <c r="C116" i="2"/>
  <c r="H116" i="12"/>
  <c r="I116" i="12"/>
  <c r="D116" i="12"/>
  <c r="E116" i="12"/>
  <c r="C117" i="12"/>
  <c r="F116" i="12"/>
  <c r="G116" i="12"/>
  <c r="J116" i="12"/>
  <c r="H116" i="13"/>
  <c r="J116" i="13"/>
  <c r="C117" i="13"/>
  <c r="I116" i="13"/>
  <c r="D116" i="13"/>
  <c r="E116" i="13"/>
  <c r="F116" i="13"/>
  <c r="G116" i="13"/>
  <c r="B94" i="12"/>
  <c r="B93" i="12"/>
  <c r="A93" i="12"/>
  <c r="A93" i="13"/>
  <c r="K80" i="2"/>
  <c r="C146" i="13" l="1"/>
  <c r="I146" i="13"/>
  <c r="E126" i="12"/>
  <c r="B77" i="13"/>
  <c r="A77" i="13"/>
  <c r="B78" i="13"/>
  <c r="A77" i="12"/>
  <c r="B78" i="12"/>
  <c r="I126" i="12"/>
  <c r="B77" i="12"/>
  <c r="O45" i="2"/>
  <c r="P45" i="2" s="1"/>
  <c r="G117" i="12"/>
  <c r="H117" i="12"/>
  <c r="E117" i="12"/>
  <c r="F117" i="12"/>
  <c r="D117" i="12"/>
  <c r="I117" i="12"/>
  <c r="J117" i="12"/>
  <c r="C118" i="12"/>
  <c r="C117" i="2"/>
  <c r="G117" i="13"/>
  <c r="I117" i="13"/>
  <c r="J117" i="13"/>
  <c r="H117" i="13"/>
  <c r="D117" i="13"/>
  <c r="E117" i="13"/>
  <c r="F117" i="13"/>
  <c r="C118" i="13"/>
  <c r="K29" i="2"/>
  <c r="J29" i="2"/>
  <c r="I29" i="2"/>
  <c r="L29" i="2" s="1"/>
  <c r="H29" i="2"/>
  <c r="G29" i="2"/>
  <c r="F29" i="2"/>
  <c r="F5" i="2" s="1"/>
  <c r="E29" i="2"/>
  <c r="E5" i="2" s="1"/>
  <c r="D29" i="2"/>
  <c r="D5" i="2" s="1"/>
  <c r="M29" i="2" l="1"/>
  <c r="P29" i="2" s="1"/>
  <c r="N29" i="2"/>
  <c r="C118" i="2"/>
  <c r="F118" i="12"/>
  <c r="G118" i="12"/>
  <c r="H118" i="12"/>
  <c r="I118" i="12"/>
  <c r="E118" i="12"/>
  <c r="J118" i="12"/>
  <c r="D118" i="12"/>
  <c r="C119" i="12"/>
  <c r="F118" i="13"/>
  <c r="H118" i="13"/>
  <c r="I118" i="13"/>
  <c r="G118" i="13"/>
  <c r="D118" i="13"/>
  <c r="E118" i="13"/>
  <c r="J118" i="13"/>
  <c r="C119" i="13"/>
  <c r="E119" i="12" l="1"/>
  <c r="F119" i="12"/>
  <c r="I119" i="12"/>
  <c r="J119" i="12"/>
  <c r="C120" i="12"/>
  <c r="H119" i="12"/>
  <c r="D119" i="12"/>
  <c r="G119" i="12"/>
  <c r="C119" i="2"/>
  <c r="E119" i="13"/>
  <c r="G119" i="13"/>
  <c r="H119" i="13"/>
  <c r="F119" i="13"/>
  <c r="I119" i="13"/>
  <c r="C120" i="13"/>
  <c r="D119" i="13"/>
  <c r="J119" i="13"/>
  <c r="L28" i="2"/>
  <c r="L44" i="2" s="1"/>
  <c r="C120" i="2" l="1"/>
  <c r="D120" i="12"/>
  <c r="C121" i="12"/>
  <c r="E120" i="12"/>
  <c r="J120" i="12"/>
  <c r="F120" i="12"/>
  <c r="G120" i="12"/>
  <c r="H120" i="12"/>
  <c r="I120" i="12"/>
  <c r="D120" i="13"/>
  <c r="C121" i="13"/>
  <c r="F120" i="13"/>
  <c r="G120" i="13"/>
  <c r="E120" i="13"/>
  <c r="H120" i="13"/>
  <c r="I120" i="13"/>
  <c r="J120" i="13"/>
  <c r="L41" i="2"/>
  <c r="L38" i="2"/>
  <c r="L31" i="2"/>
  <c r="L34" i="2" s="1"/>
  <c r="M28" i="2"/>
  <c r="M44" i="2" s="1"/>
  <c r="M31" i="2" l="1"/>
  <c r="L48" i="2"/>
  <c r="L80" i="2" s="1"/>
  <c r="M38" i="2"/>
  <c r="M41" i="2"/>
  <c r="C121" i="2"/>
  <c r="D121" i="12"/>
  <c r="C122" i="12"/>
  <c r="H121" i="12"/>
  <c r="I121" i="12"/>
  <c r="J121" i="12"/>
  <c r="E121" i="12"/>
  <c r="F121" i="12"/>
  <c r="G121" i="12"/>
  <c r="E121" i="13"/>
  <c r="F121" i="13"/>
  <c r="D121" i="13"/>
  <c r="C122" i="13"/>
  <c r="J121" i="13"/>
  <c r="G121" i="13"/>
  <c r="H121" i="13"/>
  <c r="I121" i="13"/>
  <c r="N28" i="2"/>
  <c r="N44" i="2" s="1"/>
  <c r="M34" i="2"/>
  <c r="M48" i="2" s="1"/>
  <c r="L64" i="2"/>
  <c r="N38" i="2" l="1"/>
  <c r="J122" i="12"/>
  <c r="D122" i="12"/>
  <c r="E122" i="12"/>
  <c r="G122" i="12"/>
  <c r="H122" i="12"/>
  <c r="I122" i="12"/>
  <c r="C123" i="12"/>
  <c r="F122" i="12"/>
  <c r="C122" i="2"/>
  <c r="J122" i="13"/>
  <c r="D122" i="13"/>
  <c r="C123" i="13"/>
  <c r="E122" i="13"/>
  <c r="F122" i="13"/>
  <c r="G122" i="13"/>
  <c r="I122" i="13"/>
  <c r="H122" i="13"/>
  <c r="N41" i="2"/>
  <c r="N31" i="2"/>
  <c r="N34" i="2" s="1"/>
  <c r="N48" i="2" s="1"/>
  <c r="O28" i="2"/>
  <c r="O44" i="2" s="1"/>
  <c r="M64" i="2"/>
  <c r="M80" i="2"/>
  <c r="I123" i="12" l="1"/>
  <c r="J123" i="12"/>
  <c r="E123" i="12"/>
  <c r="F123" i="12"/>
  <c r="D123" i="12"/>
  <c r="G123" i="12"/>
  <c r="H123" i="12"/>
  <c r="C123" i="2"/>
  <c r="I123" i="13"/>
  <c r="D123" i="13"/>
  <c r="J123" i="13"/>
  <c r="H123" i="13"/>
  <c r="E123" i="13"/>
  <c r="F123" i="13"/>
  <c r="G123" i="13"/>
  <c r="O38" i="2"/>
  <c r="O31" i="2"/>
  <c r="O34" i="2" s="1"/>
  <c r="P28" i="2"/>
  <c r="P44" i="2" s="1"/>
  <c r="O41" i="2"/>
  <c r="N64" i="2"/>
  <c r="N80" i="2"/>
  <c r="O48" i="2" l="1"/>
  <c r="O64" i="2" s="1"/>
  <c r="P38" i="2"/>
  <c r="P31" i="2"/>
  <c r="P34" i="2" s="1"/>
  <c r="P48" i="2" s="1"/>
  <c r="P41" i="2"/>
  <c r="O80" i="2" l="1"/>
  <c r="F101" i="2"/>
  <c r="E101" i="2"/>
  <c r="D101" i="2"/>
  <c r="G101" i="2"/>
  <c r="E100" i="2"/>
  <c r="F100" i="2"/>
  <c r="H101" i="2"/>
  <c r="G100" i="2"/>
  <c r="H100" i="2"/>
  <c r="I100" i="2"/>
  <c r="F102" i="2"/>
  <c r="I102" i="2"/>
  <c r="J102" i="2"/>
  <c r="E102" i="2"/>
  <c r="G102" i="2"/>
  <c r="H102" i="2"/>
  <c r="I101" i="2"/>
  <c r="D102" i="2"/>
  <c r="I109" i="2"/>
  <c r="F109" i="2"/>
  <c r="H103" i="2"/>
  <c r="E103" i="2"/>
  <c r="I103" i="2"/>
  <c r="D109" i="2"/>
  <c r="E109" i="2"/>
  <c r="G109" i="2"/>
  <c r="J100" i="2"/>
  <c r="F103" i="2"/>
  <c r="H109" i="2"/>
  <c r="D103" i="2"/>
  <c r="J101" i="2"/>
  <c r="G103" i="2"/>
  <c r="J109" i="2"/>
  <c r="J103" i="2"/>
  <c r="I104" i="2"/>
  <c r="G104" i="2"/>
  <c r="H104" i="2"/>
  <c r="D104" i="2"/>
  <c r="E104" i="2"/>
  <c r="F104" i="2"/>
  <c r="J104" i="2"/>
  <c r="F105" i="2"/>
  <c r="D105" i="2"/>
  <c r="F114" i="2"/>
  <c r="E105" i="2"/>
  <c r="D114" i="2"/>
  <c r="J105" i="2"/>
  <c r="G114" i="2"/>
  <c r="E114" i="2"/>
  <c r="H114" i="2"/>
  <c r="H105" i="2"/>
  <c r="G105" i="2"/>
  <c r="J114" i="2"/>
  <c r="I105" i="2"/>
  <c r="I114" i="2"/>
  <c r="F106" i="2"/>
  <c r="J106" i="2"/>
  <c r="G106" i="2"/>
  <c r="H106" i="2"/>
  <c r="I106" i="2"/>
  <c r="E106" i="2"/>
  <c r="D106" i="2"/>
  <c r="D107" i="2"/>
  <c r="F107" i="2"/>
  <c r="H107" i="2"/>
  <c r="I107" i="2"/>
  <c r="G107" i="2"/>
  <c r="J107" i="2"/>
  <c r="E107" i="2"/>
  <c r="E108" i="2"/>
  <c r="H108" i="2"/>
  <c r="I108" i="2"/>
  <c r="D108" i="2"/>
  <c r="F108" i="2"/>
  <c r="G108" i="2"/>
  <c r="J108" i="2"/>
  <c r="H110" i="2"/>
  <c r="I110" i="2"/>
  <c r="D110" i="2"/>
  <c r="E110" i="2"/>
  <c r="F110" i="2"/>
  <c r="G110" i="2"/>
  <c r="J110" i="2"/>
  <c r="J111" i="2"/>
  <c r="H111" i="2"/>
  <c r="I111" i="2"/>
  <c r="D111" i="2"/>
  <c r="E111" i="2"/>
  <c r="F111" i="2"/>
  <c r="G111" i="2"/>
  <c r="D112" i="2"/>
  <c r="G112" i="2"/>
  <c r="I112" i="2"/>
  <c r="H112" i="2"/>
  <c r="J112" i="2"/>
  <c r="F112" i="2"/>
  <c r="E112" i="2"/>
  <c r="J113" i="2"/>
  <c r="G113" i="2"/>
  <c r="D113" i="2"/>
  <c r="E113" i="2"/>
  <c r="I113" i="2"/>
  <c r="F113" i="2"/>
  <c r="H113" i="2"/>
  <c r="E115" i="2"/>
  <c r="G115" i="2"/>
  <c r="D115" i="2"/>
  <c r="H115" i="2"/>
  <c r="J115" i="2"/>
  <c r="F115" i="2"/>
  <c r="I115" i="2"/>
  <c r="E116" i="2"/>
  <c r="I116" i="2"/>
  <c r="D116" i="2"/>
  <c r="F116" i="2"/>
  <c r="G116" i="2"/>
  <c r="H116" i="2"/>
  <c r="J116" i="2"/>
  <c r="I117" i="2"/>
  <c r="E117" i="2"/>
  <c r="J117" i="2"/>
  <c r="D117" i="2"/>
  <c r="G117" i="2"/>
  <c r="H117" i="2"/>
  <c r="F117" i="2"/>
  <c r="F118" i="2"/>
  <c r="G118" i="2"/>
  <c r="E118" i="2"/>
  <c r="I118" i="2"/>
  <c r="D118" i="2"/>
  <c r="H118" i="2"/>
  <c r="J118" i="2"/>
  <c r="I119" i="2"/>
  <c r="G119" i="2"/>
  <c r="E119" i="2"/>
  <c r="F119" i="2"/>
  <c r="J119" i="2"/>
  <c r="D119" i="2"/>
  <c r="H119" i="2"/>
  <c r="G120" i="2"/>
  <c r="I120" i="2"/>
  <c r="F120" i="2"/>
  <c r="H120" i="2"/>
  <c r="D120" i="2"/>
  <c r="E120" i="2"/>
  <c r="J120" i="2"/>
  <c r="I121" i="2"/>
  <c r="H121" i="2"/>
  <c r="J121" i="2"/>
  <c r="D121" i="2"/>
  <c r="E121" i="2"/>
  <c r="F121" i="2"/>
  <c r="G121" i="2"/>
  <c r="F122" i="2"/>
  <c r="H122" i="2"/>
  <c r="I122" i="2"/>
  <c r="D122" i="2"/>
  <c r="E122" i="2"/>
  <c r="G122" i="2"/>
  <c r="J122" i="2"/>
  <c r="F123" i="2"/>
  <c r="G123" i="2"/>
  <c r="D123" i="2"/>
  <c r="J123" i="2"/>
  <c r="H123" i="2"/>
  <c r="E123" i="2"/>
  <c r="I123" i="2"/>
  <c r="P80" i="2"/>
  <c r="P64" i="2"/>
  <c r="B55" i="2"/>
  <c r="B58" i="2" s="1"/>
  <c r="B62" i="2" l="1"/>
  <c r="C126" i="2"/>
  <c r="B61" i="2"/>
  <c r="P65" i="2"/>
  <c r="B68" i="2" s="1"/>
  <c r="B71" i="2" s="1"/>
  <c r="B74" i="2" s="1"/>
  <c r="I143" i="2" s="1"/>
  <c r="P81" i="2"/>
  <c r="B84" i="2" s="1"/>
  <c r="B87" i="2" s="1"/>
  <c r="B90" i="2" s="1"/>
  <c r="C161" i="2" l="1"/>
  <c r="I161" i="2"/>
  <c r="B77" i="2"/>
  <c r="C144" i="2"/>
  <c r="A61" i="2"/>
  <c r="I126" i="2"/>
  <c r="B94" i="2"/>
  <c r="B93" i="2"/>
  <c r="B78" i="2"/>
  <c r="A77" i="2"/>
  <c r="A9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<sst xmlns="http://schemas.openxmlformats.org/spreadsheetml/2006/main" count="766" uniqueCount="298">
  <si>
    <t>DXCM-USA</t>
  </si>
  <si>
    <t>Dec '21</t>
  </si>
  <si>
    <t>Dec '22</t>
  </si>
  <si>
    <t>Dec '23</t>
  </si>
  <si>
    <t>Dec '24E</t>
  </si>
  <si>
    <t>Dec '25E</t>
  </si>
  <si>
    <t>Dec '26E</t>
  </si>
  <si>
    <t>Dec '27E</t>
  </si>
  <si>
    <t>Dec '28E</t>
  </si>
  <si>
    <t>Sales</t>
  </si>
  <si>
    <t>All figures in millions of U.S. Dollar except per share items.</t>
  </si>
  <si>
    <t>Depreciation &amp; Amortization Expense</t>
  </si>
  <si>
    <t>EBIT</t>
  </si>
  <si>
    <t>EBITDA</t>
  </si>
  <si>
    <t>Earnings Persistence</t>
  </si>
  <si>
    <t>Total Shares Outstanding</t>
  </si>
  <si>
    <t>Diluted Shares Outstanding</t>
  </si>
  <si>
    <t>EPS (diluted)</t>
  </si>
  <si>
    <t>Basic Shares Outstanding</t>
  </si>
  <si>
    <t>EPS (recurring)</t>
  </si>
  <si>
    <t>Per Share</t>
  </si>
  <si>
    <t>Net Income available to Common</t>
  </si>
  <si>
    <t>Net Income</t>
  </si>
  <si>
    <t>Consolidated Net Income</t>
  </si>
  <si>
    <t>Income Taxes - Deferred Foreign</t>
  </si>
  <si>
    <t>Income Taxes - Deferred Domestic</t>
  </si>
  <si>
    <t>Income Taxes - Current Foreign</t>
  </si>
  <si>
    <t>Income Taxes - Current Domestic</t>
  </si>
  <si>
    <t>Income Taxes</t>
  </si>
  <si>
    <t>Pretax Income</t>
  </si>
  <si>
    <t>Restructuring of Debt</t>
  </si>
  <si>
    <t>Excpl Chrgs - Others</t>
  </si>
  <si>
    <t>Unusual Expense - Net</t>
  </si>
  <si>
    <t>Gross Interest Expense</t>
  </si>
  <si>
    <t>Interest Expense</t>
  </si>
  <si>
    <t>Other Income (Expense)</t>
  </si>
  <si>
    <t>Nonoperating Interest Income</t>
  </si>
  <si>
    <t>Nonoperating Income - Net</t>
  </si>
  <si>
    <t>Other SG&amp;A</t>
  </si>
  <si>
    <t>Research &amp; Development</t>
  </si>
  <si>
    <t>SG&amp;A Expense</t>
  </si>
  <si>
    <t>Gross Income</t>
  </si>
  <si>
    <t>Amortization of Intangibles</t>
  </si>
  <si>
    <t>Depreciation</t>
  </si>
  <si>
    <t>COGS excluding D&amp;A</t>
  </si>
  <si>
    <t>Cost of Goods Sold (COGS) incl. D&amp;A</t>
  </si>
  <si>
    <t>Restate</t>
  </si>
  <si>
    <t>DEC '23</t>
  </si>
  <si>
    <t>DEC '22</t>
  </si>
  <si>
    <t>DEC '21</t>
  </si>
  <si>
    <t>DEC '20</t>
  </si>
  <si>
    <t>DEC '19</t>
  </si>
  <si>
    <t>Source: FactSet Fundamentals</t>
  </si>
  <si>
    <t xml:space="preserve">DXCM   252131107   B0796X4   NASDAQ    Common stock    </t>
  </si>
  <si>
    <t>DexCom, Inc.</t>
  </si>
  <si>
    <t>DexCom, Inc. (DXCM)</t>
  </si>
  <si>
    <t>Tangible Book Value per Share</t>
  </si>
  <si>
    <t>Book Value per Share</t>
  </si>
  <si>
    <t>Total Liabilities &amp; Shareholders' Equity</t>
  </si>
  <si>
    <t>Total Equity</t>
  </si>
  <si>
    <t>Total Shareholders' Equity</t>
  </si>
  <si>
    <t>Treasury Stock</t>
  </si>
  <si>
    <t>Other Appropriated Reserves</t>
  </si>
  <si>
    <t>Cumulative Translation Adjustment/Unrealized For. Exch. Gain</t>
  </si>
  <si>
    <t>Retained Earnings</t>
  </si>
  <si>
    <t>Additional Paid-In Capital/Capital Surplus</t>
  </si>
  <si>
    <t>Common Stock Par/Carry Value</t>
  </si>
  <si>
    <t>Common Equity</t>
  </si>
  <si>
    <t>Equity</t>
  </si>
  <si>
    <t>Total Liabilities</t>
  </si>
  <si>
    <t>Deferred Income</t>
  </si>
  <si>
    <t>Other Liabilities (excl. Deferred Income)</t>
  </si>
  <si>
    <t>Other Liabilities</t>
  </si>
  <si>
    <t>Deferred Tax Liabilities</t>
  </si>
  <si>
    <t>Provision for Risks &amp; Charges</t>
  </si>
  <si>
    <t>Capital and Operating Lease Obligations</t>
  </si>
  <si>
    <t>Long-Term Debt excl Lease Obligations</t>
  </si>
  <si>
    <t>Long-Term Debt</t>
  </si>
  <si>
    <t>Long-Term</t>
  </si>
  <si>
    <t>Total Current Liabilities</t>
  </si>
  <si>
    <t>Miscellaneous Current Liabilities</t>
  </si>
  <si>
    <t>Accrued Payroll</t>
  </si>
  <si>
    <t>Other Current Liabilities</t>
  </si>
  <si>
    <t>Income Tax Payable</t>
  </si>
  <si>
    <t>Accounts Payable</t>
  </si>
  <si>
    <t>ST Debt &amp; Curr. Portion LT Debt</t>
  </si>
  <si>
    <t>Current</t>
  </si>
  <si>
    <t>Liabilities &amp; Shareholders' Equity</t>
  </si>
  <si>
    <t>Total Assets</t>
  </si>
  <si>
    <t>Tangible Other Assets</t>
  </si>
  <si>
    <t>Other Assets</t>
  </si>
  <si>
    <t>Deferred Tax Assets</t>
  </si>
  <si>
    <t>Other Intangible Assets</t>
  </si>
  <si>
    <t>Goodwill</t>
  </si>
  <si>
    <t>Intangible Assets</t>
  </si>
  <si>
    <t>Other Long-Term Investments</t>
  </si>
  <si>
    <t xml:space="preserve">Total Long-Term Investments </t>
  </si>
  <si>
    <t>Accumulated Depreciation</t>
  </si>
  <si>
    <t>Operating Lease Right-of-Use Assets</t>
  </si>
  <si>
    <t>Other Property, Plant &amp; Equipment</t>
  </si>
  <si>
    <t>Computer Software and Equipment</t>
  </si>
  <si>
    <t>Construction in Progress</t>
  </si>
  <si>
    <t>Machinery &amp; Equipment</t>
  </si>
  <si>
    <t>Land &amp; Improvements</t>
  </si>
  <si>
    <t>Buildings</t>
  </si>
  <si>
    <t>Property, Plant &amp; Equipment - Gross</t>
  </si>
  <si>
    <t>Net Property, Plant &amp; Equipment</t>
  </si>
  <si>
    <t>Total Current Assets</t>
  </si>
  <si>
    <t>Miscellaneous Current Assets</t>
  </si>
  <si>
    <t>Prepaid Expenses</t>
  </si>
  <si>
    <t>Other Current Assets</t>
  </si>
  <si>
    <t>Raw Materials</t>
  </si>
  <si>
    <t>Work in Progress</t>
  </si>
  <si>
    <t>Finished Goods</t>
  </si>
  <si>
    <t>Inventories</t>
  </si>
  <si>
    <t>Other Receivables</t>
  </si>
  <si>
    <t>Bad Debt/Doubtful Accounts</t>
  </si>
  <si>
    <t>Accounts Receivables, Gross</t>
  </si>
  <si>
    <t>Accounts Receivables, Net</t>
  </si>
  <si>
    <t>Short-Term Receivables</t>
  </si>
  <si>
    <t>Total Short Term Investments</t>
  </si>
  <si>
    <t>Cash Only</t>
  </si>
  <si>
    <t>Cash &amp; Short-Term Investments</t>
  </si>
  <si>
    <t>Assets</t>
  </si>
  <si>
    <t>$138.75</t>
  </si>
  <si>
    <t>Free Cash Flow Yield (%)</t>
  </si>
  <si>
    <t>Free Cash Flow per Share</t>
  </si>
  <si>
    <t>Free Cash Flow</t>
  </si>
  <si>
    <t>Net Change in Cash</t>
  </si>
  <si>
    <t>Exchange Rate Effect</t>
  </si>
  <si>
    <t>All Activities</t>
  </si>
  <si>
    <t>Net Financing Cash Flow</t>
  </si>
  <si>
    <t>Other Sources</t>
  </si>
  <si>
    <t>Other Uses</t>
  </si>
  <si>
    <t>Other Funds</t>
  </si>
  <si>
    <t>Reduction in Long-Term Debt</t>
  </si>
  <si>
    <t>Issuance of Long-Term Debt</t>
  </si>
  <si>
    <t>Change in Long-Term Debt</t>
  </si>
  <si>
    <t>Issuance/Reduction of Debt, Net</t>
  </si>
  <si>
    <t>Proceeds from Sale of Stock</t>
  </si>
  <si>
    <t>Sale of Common &amp; Preferred Stock</t>
  </si>
  <si>
    <t>Repurchase of Common &amp; Preferred Stk.</t>
  </si>
  <si>
    <t>Change in Capital Stock</t>
  </si>
  <si>
    <t>Financing Activities</t>
  </si>
  <si>
    <t>Net Investing Cash Flow</t>
  </si>
  <si>
    <t>Sale/Maturity of Investments</t>
  </si>
  <si>
    <t>Purchase of Investments</t>
  </si>
  <si>
    <t>Purchase/Sale of Investments</t>
  </si>
  <si>
    <t>Net Assets from Acquisitions</t>
  </si>
  <si>
    <t>Capital Expenditures (Fixed Assets)</t>
  </si>
  <si>
    <t>Capital Expenditures</t>
  </si>
  <si>
    <t>Investing Activities</t>
  </si>
  <si>
    <t>Net Operating Cash Flow</t>
  </si>
  <si>
    <t>Other Assets/Liabilities</t>
  </si>
  <si>
    <t>Other Accruals</t>
  </si>
  <si>
    <t>Receivables</t>
  </si>
  <si>
    <t>Changes in Working Capital</t>
  </si>
  <si>
    <t>Funds from Operations</t>
  </si>
  <si>
    <t>Deferred Taxes</t>
  </si>
  <si>
    <t>Deferred Taxes &amp; Investment Tax Credit</t>
  </si>
  <si>
    <t>Amortization of Intangible Assets</t>
  </si>
  <si>
    <t>Depreciation and Depletion</t>
  </si>
  <si>
    <t>Depreciation, Depletion &amp; Amortization</t>
  </si>
  <si>
    <t>Net Income / Starting Line</t>
  </si>
  <si>
    <t>Operating Activities</t>
  </si>
  <si>
    <t>$138.86</t>
  </si>
  <si>
    <t>Dec '29E</t>
  </si>
  <si>
    <t>Dec '30E</t>
  </si>
  <si>
    <t>Income Statement</t>
  </si>
  <si>
    <t>Taxes</t>
  </si>
  <si>
    <t>Operating Margin</t>
  </si>
  <si>
    <t>% Growth</t>
  </si>
  <si>
    <t>% operating income</t>
  </si>
  <si>
    <t>Cash Flows</t>
  </si>
  <si>
    <t>D&amp;A</t>
  </si>
  <si>
    <t>(#'s in millions)</t>
  </si>
  <si>
    <t>% of sales</t>
  </si>
  <si>
    <t>CAPEX</t>
  </si>
  <si>
    <t>Change Working Capital</t>
  </si>
  <si>
    <t>DCF MODEL</t>
  </si>
  <si>
    <t>Net Income - GAAP</t>
  </si>
  <si>
    <t>Net Income - Non GAAP</t>
  </si>
  <si>
    <t>Tax Expense</t>
  </si>
  <si>
    <t>-</t>
  </si>
  <si>
    <t>Pretax Income - GAAP</t>
  </si>
  <si>
    <t>Pretax Income - Non GAAP</t>
  </si>
  <si>
    <t>Operating Income - GAAP</t>
  </si>
  <si>
    <t>Guidance (High)</t>
  </si>
  <si>
    <t>Guidance (Low)</t>
  </si>
  <si>
    <t>Operating Income - Non GAAP</t>
  </si>
  <si>
    <t>Operating Income</t>
  </si>
  <si>
    <t>Depr. &amp; Amort.</t>
  </si>
  <si>
    <t>EBITDA GAAP</t>
  </si>
  <si>
    <t>EBITDA Non-GAAP</t>
  </si>
  <si>
    <t>General &amp; Admin Expense</t>
  </si>
  <si>
    <t>Selling &amp; Marketing Expense</t>
  </si>
  <si>
    <t>Organic Growth (%)</t>
  </si>
  <si>
    <t>Cost of Sales</t>
  </si>
  <si>
    <t>Income Statement (M)</t>
  </si>
  <si>
    <t>DXCM-US</t>
  </si>
  <si>
    <t>Cash Flow from Financing</t>
  </si>
  <si>
    <t>Cash Flow from Investing</t>
  </si>
  <si>
    <t>Cash Flow from Operations</t>
  </si>
  <si>
    <t>Cash Flow (M)</t>
  </si>
  <si>
    <t>Shareholder Equity</t>
  </si>
  <si>
    <t>Working Capital</t>
  </si>
  <si>
    <t>Net Debt</t>
  </si>
  <si>
    <t>Total Goodwill</t>
  </si>
  <si>
    <t>Total Debt</t>
  </si>
  <si>
    <t>Short-Term Debt</t>
  </si>
  <si>
    <t>Current Liabilities</t>
  </si>
  <si>
    <t>Current Assets</t>
  </si>
  <si>
    <t>Balance Sheet (M)</t>
  </si>
  <si>
    <t>**income statement estimates provided by factset.com until dec '29E</t>
  </si>
  <si>
    <t>Dec '31E</t>
  </si>
  <si>
    <t>Dec '32E</t>
  </si>
  <si>
    <t>Dec '33E</t>
  </si>
  <si>
    <t>**avg of previous 5 years</t>
  </si>
  <si>
    <t>Cost of Debt</t>
  </si>
  <si>
    <t>short term debt</t>
  </si>
  <si>
    <t>long term debt</t>
  </si>
  <si>
    <t>Income Tax Expense</t>
  </si>
  <si>
    <t>income before tax</t>
  </si>
  <si>
    <t>effective tax rate</t>
  </si>
  <si>
    <t>After tax cost of debt</t>
  </si>
  <si>
    <t>cost of debt (before reconsiliation)</t>
  </si>
  <si>
    <t>because DXCM has so much LTD we decided to do a weighted avg between long term bonds and calculated cost of debt</t>
  </si>
  <si>
    <t>Cost Of debt</t>
  </si>
  <si>
    <t>**10 yr tresury yield as of march 26th 2024</t>
  </si>
  <si>
    <t>Risk Free rate</t>
  </si>
  <si>
    <t>Beta</t>
  </si>
  <si>
    <t>**from factset 3yr adjusted beta</t>
  </si>
  <si>
    <t>Market rate</t>
  </si>
  <si>
    <t>Cost of Equity</t>
  </si>
  <si>
    <t>CAPM (k)</t>
  </si>
  <si>
    <t>**optimistic outlook based of FED's 3 rate cut outlook</t>
  </si>
  <si>
    <t>WACC Calculation</t>
  </si>
  <si>
    <t>Debt + equity</t>
  </si>
  <si>
    <t>% Debt</t>
  </si>
  <si>
    <t>% Equity</t>
  </si>
  <si>
    <t>WACC</t>
  </si>
  <si>
    <t>**Looks like it is growing fairly consistently, taking the avg increase and adding it to the previous #</t>
  </si>
  <si>
    <t>**first 4 est. given by factset</t>
  </si>
  <si>
    <t>**first 3 est given by factset</t>
  </si>
  <si>
    <t>**avg perviious 5 years</t>
  </si>
  <si>
    <t>Boom WACC</t>
  </si>
  <si>
    <t>Moderate WACC</t>
  </si>
  <si>
    <t>**assume a slow economic year</t>
  </si>
  <si>
    <t>**Assume the market has a good year</t>
  </si>
  <si>
    <t>Slowed WACC</t>
  </si>
  <si>
    <t>Constant Growth rate</t>
  </si>
  <si>
    <t>Enterprise Value</t>
  </si>
  <si>
    <t>(+) Cash</t>
  </si>
  <si>
    <t>(-) Debt</t>
  </si>
  <si>
    <t>Equity value</t>
  </si>
  <si>
    <t>Intrinsic Value</t>
  </si>
  <si>
    <t>Shares Outstanding</t>
  </si>
  <si>
    <t>Terminal Value Moderate</t>
  </si>
  <si>
    <t>Unlevered Free cash flow (Moderate Example)</t>
  </si>
  <si>
    <t>Unlevered Free cash flow (Boom Example)</t>
  </si>
  <si>
    <t>Terminal Value Boom</t>
  </si>
  <si>
    <t>**based on moderate long term GDP growth</t>
  </si>
  <si>
    <t>**based on Boom long term GDP growth</t>
  </si>
  <si>
    <t>Unlevered Free cash flow (Slowed Example)</t>
  </si>
  <si>
    <t>Terminal Value Slowed</t>
  </si>
  <si>
    <t>**based on slower GDP growth</t>
  </si>
  <si>
    <t>Enterprise value</t>
  </si>
  <si>
    <t>Equity Value</t>
  </si>
  <si>
    <t>**avg of previous 2 years multiplied by 90% to simulate slowed growth</t>
  </si>
  <si>
    <t>**we thought lower than 1% was unusually low so we adjusted to make it more realistic escpecially because of their high Debt/Asset ratio</t>
  </si>
  <si>
    <t xml:space="preserve"> </t>
  </si>
  <si>
    <t>**income statement estimates provided by factset.com until dec '29E, revenues and EBIT are boosted to simulate aggressive growth</t>
  </si>
  <si>
    <t>**avg perviious 5 years multiplied by 1.1 because we assume a fast growing company will accumulate more CapEx</t>
  </si>
  <si>
    <t>**income statement estimates provided by factset.com until dec '29E, revenues and EBIT are slowed to simulate conservative growth</t>
  </si>
  <si>
    <t>**Mulitplied by 90% to simulate Conservative growth</t>
  </si>
  <si>
    <t>**Mulitplied by 120% to simulate Aggressive growth</t>
  </si>
  <si>
    <t>**est based on competitors ebit avg in similar stage of business, pharma companies have a gigantic gross margin, most cost are incurred through R&amp;D, as the company gets older, products will be released and there will be less need for R&amp;D so we infer ebit will grow, so we multiply by 110%</t>
  </si>
  <si>
    <t>**first 4 estimates multipled by 1.2 to simulate aggressive ebit growth</t>
  </si>
  <si>
    <t>**first 4 estimates multipled by .9 to simulate conservative ebit growth</t>
  </si>
  <si>
    <t>Current Share Price</t>
  </si>
  <si>
    <t>Current share Price 4/2</t>
  </si>
  <si>
    <t>Recommendation</t>
  </si>
  <si>
    <t>Nominal Growth Rate</t>
  </si>
  <si>
    <t>WAAC</t>
  </si>
  <si>
    <t>P0</t>
  </si>
  <si>
    <t>Current Market Price = $140</t>
  </si>
  <si>
    <t>Constant Growth Rate</t>
  </si>
  <si>
    <t>Market Capitalization</t>
  </si>
  <si>
    <t>Boom</t>
  </si>
  <si>
    <t xml:space="preserve">**because the previous years unpredictability, we used the average of the previous 5 years </t>
  </si>
  <si>
    <t>**avg perviious 5 years multiplied by 0.9 because we assume a slower growing company will accumulate less CapEx</t>
  </si>
  <si>
    <t>**est based on competitors ebit avg in similar stage of business, pharma companies have a gigantic gross margin, most cost are incurred through R&amp;D, as the company gets older, products will be released and there will be less need for R&amp;D so we infer ebit will grow, but in the conservative example we est it will grow less</t>
  </si>
  <si>
    <t>Moderate</t>
  </si>
  <si>
    <t>Slowed</t>
  </si>
  <si>
    <t>**avg of previous 3 years multiplied by 90% to simulate slowed growth</t>
  </si>
  <si>
    <t>**est based on competitors ebit avg in similar stage of business, pharma companies have a gigantic gross margin, most cost are incurred through R&amp;D, as the company gets older, products will be released and there will be less need for R&amp;D so we infer ebit will grow, so we multiply by 107.5%</t>
  </si>
  <si>
    <t xml:space="preserve">**avg of previous 3 years </t>
  </si>
  <si>
    <t>**avg of previous 5 years, *1.05 in factset est.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</si>
</sst>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44" formatCode="_(&quot;$&quot;* #,##0.00_);_(&quot;$&quot;* \(#,##0.00\);_(&quot;$&quot;* &quot;-&quot;??_);_(@_)"/>
    <numFmt numFmtId="164" formatCode="#,##0.0"/>
    <numFmt numFmtId="165" formatCode="0.0%"/>
    <numFmt numFmtId="166" formatCode="0.00000%"/>
    <numFmt numFmtId="167" formatCode="0.000%"/>
    <numFmt numFmtId="168" formatCode="_([$$-409]* #,##0.00_);_([$$-409]* \(#,##0.00\);_([$$-409]* &quot;-&quot;??_);_(@_)"/>
  </numFmts>
  <fonts count="22" x14ac:knownFonts="1">
    <font>
      <sz val="10"/>
      <color theme="1"/>
      <name val="Arial"/>
      <family val="2"/>
    </font>
    <font>
      <b/>
      <sz val="10"/>
      <color theme="1"/>
      <name val="Arial"/>
      <family val="2"/>
    </font>
    <font>
      <sz val="10"/>
      <color theme="1"/>
      <name val="Arial"/>
      <family val="2"/>
    </font>
    <font>
      <sz val="10"/>
      <color rgb="FF646464"/>
      <name val="Arial"/>
      <family val="2"/>
    </font>
    <font>
      <b/>
      <sz val="10"/>
      <color rgb="FF003366"/>
      <name val="Arial"/>
      <family val="2"/>
    </font>
    <font>
      <sz val="10"/>
      <color rgb="FFFF0000"/>
      <name val="Arial"/>
      <family val="2"/>
    </font>
    <font>
      <i/>
      <sz val="10"/>
      <color theme="1"/>
      <name val="Arial"/>
      <family val="2"/>
    </font>
    <font>
      <b/>
      <sz val="10"/>
      <color theme="4" tint="-0.249977111117893"/>
      <name val="Arial"/>
      <family val="2"/>
    </font>
    <font>
      <i/>
      <sz val="9"/>
      <color theme="1"/>
      <name val="Arial"/>
      <family val="2"/>
    </font>
    <font>
      <sz val="10"/>
      <color theme="4" tint="-0.249977111117893"/>
      <name val="Arial"/>
      <family val="2"/>
    </font>
    <font>
      <b/>
      <sz val="18"/>
      <color theme="4" tint="-0.249977111117893"/>
      <name val="Arial"/>
      <family val="2"/>
    </font>
    <font>
      <sz val="9"/>
      <color theme="1"/>
      <name val="Arial"/>
      <family val="2"/>
    </font>
    <font>
      <b/>
      <sz val="10"/>
      <color theme="4"/>
      <name val="Arial"/>
      <family val="2"/>
    </font>
    <font>
      <b/>
      <sz val="10"/>
      <color indexed="62"/>
      <name val="Arial"/>
      <family val="2"/>
    </font>
    <font>
      <b/>
      <sz val="10"/>
      <color theme="5"/>
      <name val="Arial"/>
      <family val="2"/>
    </font>
    <font>
      <b/>
      <sz val="10"/>
      <color indexed="53"/>
      <name val="Arial"/>
      <family val="2"/>
    </font>
    <font>
      <b/>
      <sz val="10"/>
      <color indexed="8"/>
      <name val="Arial"/>
      <family val="2"/>
    </font>
    <font>
      <b/>
      <sz val="14"/>
      <color theme="1"/>
      <name val="Arial"/>
      <family val="2"/>
    </font>
    <font>
      <b/>
      <sz val="20"/>
      <color theme="1"/>
      <name val="Arial"/>
      <family val="2"/>
    </font>
    <font>
      <b/>
      <i/>
      <sz val="16"/>
      <color theme="1"/>
      <name val="Arial"/>
      <family val="2"/>
    </font>
    <font>
      <b/>
      <sz val="16"/>
      <color theme="1"/>
      <name val="Arial"/>
      <family val="2"/>
    </font>
    <font>
      <b/>
      <sz val="14"/>
      <color indexed="8"/>
      <name val="Arial"/>
      <family val="2"/>
    </font>
  </fonts>
  <fills count="11">
    <fill>
      <patternFill patternType="none"/>
    </fill>
    <fill>
      <patternFill patternType="gray125"/>
    </fill>
    <fill>
      <patternFill patternType="solid">
        <fgColor rgb="FFC8C8C8"/>
        <bgColor indexed="64"/>
      </patternFill>
    </fill>
    <fill>
      <patternFill patternType="solid">
        <fgColor rgb="FFF0F0F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FF00"/>
        <bgColor indexed="64"/>
      </patternFill>
    </fill>
  </fills>
  <borders count="18">
    <border>
      <left/>
      <right/>
      <top/>
      <bottom/>
      <diagonal/>
    </border>
    <border>
      <left/>
      <right/>
      <top style="thin">
        <color rgb="FF000000"/>
      </top>
      <bottom/>
      <diagonal/>
    </border>
    <border>
      <left/>
      <right/>
      <top/>
      <bottom style="thin">
        <color rgb="FF000000"/>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145">
    <xf numFmtId="0" fontId="0" fillId="0" borderId="0" xfId="0"/>
    <xf numFmtId="0" fontId="1" fillId="0" borderId="0" xfId="0" applyFont="1"/>
    <xf numFmtId="0" fontId="1" fillId="2" borderId="0" xfId="0" applyFont="1" applyFill="1" applyAlignment="1">
      <alignment horizontal="left"/>
    </xf>
    <xf numFmtId="0" fontId="0" fillId="3" borderId="0" xfId="0" applyFill="1" applyAlignment="1">
      <alignment horizontal="left"/>
    </xf>
    <xf numFmtId="0" fontId="0" fillId="0" borderId="0" xfId="0" applyAlignment="1">
      <alignment horizontal="left"/>
    </xf>
    <xf numFmtId="3" fontId="0" fillId="0" borderId="0" xfId="0" applyNumberFormat="1" applyAlignment="1">
      <alignment horizontal="right"/>
    </xf>
    <xf numFmtId="0" fontId="3" fillId="0" borderId="0" xfId="0" applyFont="1" applyAlignment="1">
      <alignment horizontal="left"/>
    </xf>
    <xf numFmtId="164" fontId="0" fillId="0" borderId="0" xfId="0" applyNumberFormat="1" applyAlignment="1">
      <alignment horizontal="right"/>
    </xf>
    <xf numFmtId="0" fontId="0" fillId="0" borderId="0" xfId="0" applyAlignment="1">
      <alignment horizontal="left" indent="4"/>
    </xf>
    <xf numFmtId="164" fontId="0" fillId="3" borderId="0" xfId="0" applyNumberFormat="1" applyFill="1" applyAlignment="1">
      <alignment horizontal="right"/>
    </xf>
    <xf numFmtId="0" fontId="0" fillId="3" borderId="0" xfId="0" applyFill="1" applyAlignment="1">
      <alignment horizontal="left" indent="4"/>
    </xf>
    <xf numFmtId="164" fontId="4" fillId="0" borderId="0" xfId="0" applyNumberFormat="1" applyFont="1" applyAlignment="1">
      <alignment horizontal="right"/>
    </xf>
    <xf numFmtId="0" fontId="4" fillId="0" borderId="0" xfId="0" applyFont="1" applyAlignment="1">
      <alignment horizontal="left" indent="3"/>
    </xf>
    <xf numFmtId="0" fontId="4" fillId="3" borderId="0" xfId="0" applyFont="1" applyFill="1" applyAlignment="1">
      <alignment horizontal="left"/>
    </xf>
    <xf numFmtId="4" fontId="0" fillId="0" borderId="0" xfId="0" applyNumberFormat="1" applyAlignment="1">
      <alignment horizontal="right"/>
    </xf>
    <xf numFmtId="0" fontId="0" fillId="0" borderId="0" xfId="0" applyAlignment="1">
      <alignment horizontal="left" indent="1"/>
    </xf>
    <xf numFmtId="4" fontId="0" fillId="3" borderId="0" xfId="0" applyNumberFormat="1" applyFill="1" applyAlignment="1">
      <alignment horizontal="right"/>
    </xf>
    <xf numFmtId="4" fontId="4" fillId="3" borderId="0" xfId="0" applyNumberFormat="1" applyFont="1" applyFill="1" applyAlignment="1">
      <alignment horizontal="right"/>
    </xf>
    <xf numFmtId="0" fontId="4" fillId="3" borderId="0" xfId="0" applyFont="1" applyFill="1" applyAlignment="1">
      <alignment horizontal="left" indent="3"/>
    </xf>
    <xf numFmtId="4" fontId="4" fillId="0" borderId="0" xfId="0" applyNumberFormat="1" applyFont="1" applyAlignment="1">
      <alignment horizontal="right"/>
    </xf>
    <xf numFmtId="164" fontId="4" fillId="3" borderId="0" xfId="0" applyNumberFormat="1" applyFont="1" applyFill="1" applyAlignment="1">
      <alignment horizontal="right"/>
    </xf>
    <xf numFmtId="164" fontId="5" fillId="3" borderId="0" xfId="0" applyNumberFormat="1" applyFont="1" applyFill="1" applyAlignment="1">
      <alignment horizontal="right"/>
    </xf>
    <xf numFmtId="164" fontId="5" fillId="0" borderId="0" xfId="0" applyNumberFormat="1" applyFont="1" applyAlignment="1">
      <alignment horizontal="right"/>
    </xf>
    <xf numFmtId="0" fontId="4" fillId="0" borderId="0" xfId="0" applyFont="1" applyAlignment="1">
      <alignment horizontal="left"/>
    </xf>
    <xf numFmtId="0" fontId="0" fillId="3" borderId="0" xfId="0" applyFill="1" applyAlignment="1">
      <alignment horizontal="left" indent="7"/>
    </xf>
    <xf numFmtId="0" fontId="4" fillId="0" borderId="0" xfId="0" applyFont="1" applyAlignment="1">
      <alignment horizontal="left" indent="6"/>
    </xf>
    <xf numFmtId="0" fontId="0" fillId="0" borderId="0" xfId="0" applyAlignment="1">
      <alignment horizontal="left" indent="7"/>
    </xf>
    <xf numFmtId="0" fontId="0" fillId="0" borderId="1" xfId="0" applyBorder="1"/>
    <xf numFmtId="0" fontId="0" fillId="0" borderId="2" xfId="0" applyBorder="1"/>
    <xf numFmtId="0" fontId="6" fillId="0" borderId="0" xfId="0" applyFont="1"/>
    <xf numFmtId="0" fontId="0" fillId="3" borderId="0" xfId="0" applyFill="1" applyAlignment="1">
      <alignment horizontal="left" indent="1"/>
    </xf>
    <xf numFmtId="3" fontId="0" fillId="3" borderId="0" xfId="0" applyNumberFormat="1" applyFill="1" applyAlignment="1">
      <alignment horizontal="right"/>
    </xf>
    <xf numFmtId="3" fontId="5" fillId="3" borderId="0" xfId="0" applyNumberFormat="1" applyFont="1" applyFill="1" applyAlignment="1">
      <alignment horizontal="right"/>
    </xf>
    <xf numFmtId="3" fontId="5" fillId="0" borderId="0" xfId="0" applyNumberFormat="1" applyFont="1" applyAlignment="1">
      <alignment horizontal="right"/>
    </xf>
    <xf numFmtId="3" fontId="4" fillId="3" borderId="0" xfId="0" applyNumberFormat="1" applyFont="1" applyFill="1" applyAlignment="1">
      <alignment horizontal="right"/>
    </xf>
    <xf numFmtId="0" fontId="4" fillId="3" borderId="0" xfId="0" applyFont="1" applyFill="1" applyAlignment="1">
      <alignment horizontal="left" indent="6"/>
    </xf>
    <xf numFmtId="0" fontId="7" fillId="0" borderId="0" xfId="0" applyFont="1"/>
    <xf numFmtId="0" fontId="9" fillId="4" borderId="0" xfId="0" applyFont="1" applyFill="1"/>
    <xf numFmtId="0" fontId="10" fillId="4" borderId="0" xfId="0" applyFont="1" applyFill="1"/>
    <xf numFmtId="3" fontId="0" fillId="0" borderId="0" xfId="0" applyNumberFormat="1"/>
    <xf numFmtId="0" fontId="0" fillId="0" borderId="3" xfId="0" applyBorder="1"/>
    <xf numFmtId="4" fontId="0" fillId="0" borderId="0" xfId="0" applyNumberFormat="1" applyAlignment="1">
      <alignment horizontal="left"/>
    </xf>
    <xf numFmtId="4" fontId="0" fillId="3" borderId="0" xfId="0" applyNumberFormat="1" applyFill="1" applyAlignment="1">
      <alignment horizontal="left"/>
    </xf>
    <xf numFmtId="4" fontId="5" fillId="0" borderId="0" xfId="0" applyNumberFormat="1" applyFont="1" applyAlignment="1">
      <alignment horizontal="right"/>
    </xf>
    <xf numFmtId="4" fontId="5" fillId="3" borderId="0" xfId="0" applyNumberFormat="1" applyFont="1" applyFill="1" applyAlignment="1">
      <alignment horizontal="right"/>
    </xf>
    <xf numFmtId="10" fontId="0" fillId="0" borderId="4" xfId="1" applyNumberFormat="1" applyFont="1" applyBorder="1"/>
    <xf numFmtId="167" fontId="0" fillId="0" borderId="0" xfId="0" applyNumberFormat="1"/>
    <xf numFmtId="44" fontId="0" fillId="0" borderId="0" xfId="0" applyNumberFormat="1"/>
    <xf numFmtId="0" fontId="1" fillId="0" borderId="6" xfId="0" applyFont="1" applyBorder="1"/>
    <xf numFmtId="0" fontId="0" fillId="0" borderId="8" xfId="0" applyBorder="1"/>
    <xf numFmtId="165" fontId="0" fillId="0" borderId="9" xfId="1" applyNumberFormat="1" applyFont="1" applyBorder="1"/>
    <xf numFmtId="0" fontId="0" fillId="0" borderId="6" xfId="0" applyBorder="1"/>
    <xf numFmtId="168" fontId="0" fillId="0" borderId="7" xfId="2" applyNumberFormat="1" applyFont="1" applyBorder="1"/>
    <xf numFmtId="0" fontId="0" fillId="0" borderId="3" xfId="0" applyBorder="1" applyAlignment="1">
      <alignment horizontal="left" indent="2"/>
    </xf>
    <xf numFmtId="168" fontId="0" fillId="0" borderId="10" xfId="2" applyNumberFormat="1" applyFont="1" applyBorder="1"/>
    <xf numFmtId="44" fontId="0" fillId="0" borderId="9" xfId="2" applyFont="1" applyBorder="1"/>
    <xf numFmtId="4" fontId="0" fillId="0" borderId="7" xfId="0" applyNumberFormat="1" applyBorder="1"/>
    <xf numFmtId="44" fontId="0" fillId="0" borderId="9" xfId="0" applyNumberFormat="1" applyBorder="1"/>
    <xf numFmtId="10" fontId="0" fillId="0" borderId="9" xfId="1" applyNumberFormat="1" applyFont="1" applyBorder="1"/>
    <xf numFmtId="168" fontId="0" fillId="0" borderId="10" xfId="0" applyNumberFormat="1" applyBorder="1"/>
    <xf numFmtId="0" fontId="0" fillId="0" borderId="10" xfId="0" applyBorder="1"/>
    <xf numFmtId="0" fontId="7" fillId="4" borderId="6" xfId="0" applyFont="1" applyFill="1" applyBorder="1"/>
    <xf numFmtId="0" fontId="7" fillId="4" borderId="11" xfId="0" applyFont="1" applyFill="1" applyBorder="1"/>
    <xf numFmtId="0" fontId="7" fillId="4" borderId="7" xfId="0" applyFont="1" applyFill="1" applyBorder="1"/>
    <xf numFmtId="0" fontId="7" fillId="0" borderId="3" xfId="0" applyFont="1" applyBorder="1"/>
    <xf numFmtId="44" fontId="0" fillId="0" borderId="0" xfId="2" applyFont="1" applyBorder="1"/>
    <xf numFmtId="44" fontId="0" fillId="0" borderId="10" xfId="2" applyFont="1" applyBorder="1"/>
    <xf numFmtId="0" fontId="8" fillId="0" borderId="3" xfId="0" applyFont="1" applyBorder="1"/>
    <xf numFmtId="10" fontId="0" fillId="0" borderId="0" xfId="0" applyNumberFormat="1"/>
    <xf numFmtId="10" fontId="0" fillId="0" borderId="10" xfId="0" applyNumberFormat="1" applyBorder="1"/>
    <xf numFmtId="0" fontId="1" fillId="0" borderId="3" xfId="0" applyFont="1" applyBorder="1"/>
    <xf numFmtId="10" fontId="0" fillId="0" borderId="0" xfId="1" applyNumberFormat="1" applyFont="1" applyBorder="1"/>
    <xf numFmtId="10" fontId="0" fillId="0" borderId="10" xfId="1" applyNumberFormat="1" applyFont="1" applyBorder="1"/>
    <xf numFmtId="0" fontId="8" fillId="0" borderId="8" xfId="0" applyFont="1" applyBorder="1"/>
    <xf numFmtId="0" fontId="6" fillId="0" borderId="3" xfId="0" applyFont="1" applyBorder="1"/>
    <xf numFmtId="0" fontId="0" fillId="0" borderId="3" xfId="0" applyBorder="1" applyAlignment="1">
      <alignment horizontal="left"/>
    </xf>
    <xf numFmtId="0" fontId="6" fillId="0" borderId="8" xfId="0" applyFont="1" applyBorder="1"/>
    <xf numFmtId="10" fontId="0" fillId="0" borderId="4" xfId="0" applyNumberFormat="1" applyBorder="1"/>
    <xf numFmtId="10" fontId="0" fillId="0" borderId="9" xfId="0" applyNumberFormat="1" applyBorder="1"/>
    <xf numFmtId="167" fontId="0" fillId="0" borderId="4" xfId="1" applyNumberFormat="1" applyFont="1" applyBorder="1"/>
    <xf numFmtId="167" fontId="0" fillId="0" borderId="9" xfId="1" applyNumberFormat="1" applyFont="1" applyBorder="1"/>
    <xf numFmtId="44" fontId="0" fillId="6" borderId="12" xfId="0" applyNumberFormat="1" applyFill="1" applyBorder="1"/>
    <xf numFmtId="44" fontId="0" fillId="6" borderId="13" xfId="0" applyNumberFormat="1" applyFill="1" applyBorder="1"/>
    <xf numFmtId="44" fontId="0" fillId="6" borderId="14" xfId="0" applyNumberFormat="1" applyFill="1" applyBorder="1"/>
    <xf numFmtId="44" fontId="0" fillId="7" borderId="5" xfId="0" applyNumberFormat="1" applyFill="1" applyBorder="1"/>
    <xf numFmtId="0" fontId="0" fillId="0" borderId="12" xfId="0" applyBorder="1"/>
    <xf numFmtId="0" fontId="0" fillId="0" borderId="14" xfId="0" applyBorder="1"/>
    <xf numFmtId="0" fontId="0" fillId="0" borderId="9" xfId="0" applyBorder="1"/>
    <xf numFmtId="10" fontId="0" fillId="0" borderId="10" xfId="1" applyNumberFormat="1" applyFont="1" applyFill="1" applyBorder="1"/>
    <xf numFmtId="10" fontId="0" fillId="0" borderId="9" xfId="1" applyNumberFormat="1" applyFont="1" applyFill="1" applyBorder="1"/>
    <xf numFmtId="166" fontId="0" fillId="5" borderId="10" xfId="0" applyNumberFormat="1" applyFill="1" applyBorder="1"/>
    <xf numFmtId="167" fontId="0" fillId="0" borderId="10" xfId="1" applyNumberFormat="1" applyFont="1" applyBorder="1"/>
    <xf numFmtId="167" fontId="0" fillId="5" borderId="5" xfId="0" applyNumberFormat="1" applyFill="1" applyBorder="1"/>
    <xf numFmtId="166" fontId="0" fillId="5" borderId="5" xfId="0" applyNumberFormat="1" applyFill="1" applyBorder="1"/>
    <xf numFmtId="44" fontId="0" fillId="0" borderId="7" xfId="0" applyNumberFormat="1" applyBorder="1"/>
    <xf numFmtId="44" fontId="12" fillId="0" borderId="0" xfId="2" applyFont="1" applyBorder="1"/>
    <xf numFmtId="44" fontId="12" fillId="0" borderId="0" xfId="0" applyNumberFormat="1" applyFont="1"/>
    <xf numFmtId="44" fontId="12" fillId="0" borderId="10" xfId="0" applyNumberFormat="1" applyFont="1" applyBorder="1"/>
    <xf numFmtId="44" fontId="12" fillId="0" borderId="10" xfId="2" applyFont="1" applyBorder="1"/>
    <xf numFmtId="44" fontId="13" fillId="0" borderId="0" xfId="2" applyFont="1" applyBorder="1"/>
    <xf numFmtId="44" fontId="13" fillId="0" borderId="0" xfId="0" applyNumberFormat="1" applyFont="1"/>
    <xf numFmtId="44" fontId="13" fillId="0" borderId="10" xfId="0" applyNumberFormat="1" applyFont="1" applyBorder="1"/>
    <xf numFmtId="44" fontId="13" fillId="0" borderId="10" xfId="2" applyFont="1" applyBorder="1"/>
    <xf numFmtId="44" fontId="14" fillId="0" borderId="0" xfId="2" applyFont="1" applyBorder="1"/>
    <xf numFmtId="44" fontId="14" fillId="0" borderId="3" xfId="2" applyFont="1" applyBorder="1"/>
    <xf numFmtId="44" fontId="15" fillId="0" borderId="0" xfId="2" applyFont="1" applyBorder="1"/>
    <xf numFmtId="44" fontId="15" fillId="0" borderId="3" xfId="2" applyFont="1" applyBorder="1"/>
    <xf numFmtId="10" fontId="1" fillId="8" borderId="15" xfId="1" applyNumberFormat="1" applyFont="1" applyFill="1" applyBorder="1"/>
    <xf numFmtId="165" fontId="1" fillId="8" borderId="16" xfId="1" applyNumberFormat="1" applyFont="1" applyFill="1" applyBorder="1"/>
    <xf numFmtId="165" fontId="0" fillId="0" borderId="0" xfId="1" applyNumberFormat="1" applyFont="1" applyBorder="1" applyAlignment="1">
      <alignment horizontal="center"/>
    </xf>
    <xf numFmtId="165" fontId="1" fillId="0" borderId="0" xfId="1" applyNumberFormat="1" applyFont="1" applyBorder="1" applyAlignment="1">
      <alignment horizontal="center"/>
    </xf>
    <xf numFmtId="0" fontId="16" fillId="0" borderId="0" xfId="0" applyFont="1"/>
    <xf numFmtId="8" fontId="0" fillId="0" borderId="0" xfId="0" applyNumberFormat="1"/>
    <xf numFmtId="44" fontId="0" fillId="0" borderId="0" xfId="2" applyFont="1"/>
    <xf numFmtId="0" fontId="0" fillId="9" borderId="0" xfId="0" applyFill="1"/>
    <xf numFmtId="165" fontId="0" fillId="9" borderId="0" xfId="0" applyNumberFormat="1" applyFill="1"/>
    <xf numFmtId="165" fontId="0" fillId="9" borderId="0" xfId="1" applyNumberFormat="1" applyFont="1" applyFill="1"/>
    <xf numFmtId="0" fontId="1" fillId="9" borderId="0" xfId="0" applyFont="1" applyFill="1"/>
    <xf numFmtId="44" fontId="0" fillId="9" borderId="0" xfId="0" applyNumberFormat="1" applyFill="1"/>
    <xf numFmtId="10" fontId="0" fillId="10" borderId="0" xfId="0" applyNumberFormat="1" applyFill="1"/>
    <xf numFmtId="165" fontId="0" fillId="10" borderId="0" xfId="1" applyNumberFormat="1" applyFont="1" applyFill="1"/>
    <xf numFmtId="2" fontId="0" fillId="0" borderId="0" xfId="0" applyNumberFormat="1"/>
    <xf numFmtId="0" fontId="0" fillId="0" borderId="5" xfId="0" applyBorder="1"/>
    <xf numFmtId="44" fontId="0" fillId="0" borderId="5" xfId="0" applyNumberFormat="1" applyBorder="1"/>
    <xf numFmtId="10" fontId="0" fillId="0" borderId="5" xfId="0" applyNumberFormat="1" applyBorder="1"/>
    <xf numFmtId="44" fontId="0" fillId="0" borderId="5" xfId="2" applyFont="1" applyBorder="1"/>
    <xf numFmtId="9" fontId="0" fillId="0" borderId="5" xfId="0" applyNumberFormat="1" applyBorder="1"/>
    <xf numFmtId="10" fontId="0" fillId="0" borderId="17" xfId="0" applyNumberFormat="1" applyBorder="1"/>
    <xf numFmtId="0" fontId="18" fillId="0" borderId="0" xfId="0" applyFont="1"/>
    <xf numFmtId="0" fontId="17" fillId="0" borderId="0" xfId="0" applyFont="1"/>
    <xf numFmtId="0" fontId="0" fillId="0" borderId="15" xfId="0" applyBorder="1"/>
    <xf numFmtId="0" fontId="0" fillId="0" borderId="5" xfId="0" applyBorder="1" applyAlignment="1">
      <alignment wrapText="1"/>
    </xf>
    <xf numFmtId="168" fontId="0" fillId="0" borderId="0" xfId="0" applyNumberFormat="1"/>
    <xf numFmtId="168" fontId="20" fillId="10" borderId="14" xfId="0" applyNumberFormat="1" applyFont="1" applyFill="1" applyBorder="1" applyAlignment="1">
      <alignment horizontal="left"/>
    </xf>
    <xf numFmtId="0" fontId="21" fillId="0" borderId="0" xfId="0" applyFont="1"/>
    <xf numFmtId="0" fontId="11" fillId="0" borderId="0" xfId="0" applyFont="1" applyAlignment="1">
      <alignment horizontal="center" wrapText="1"/>
    </xf>
    <xf numFmtId="0" fontId="17" fillId="9" borderId="0" xfId="0" applyFont="1" applyFill="1" applyAlignment="1">
      <alignment horizontal="left" vertical="top" indent="16"/>
    </xf>
    <xf numFmtId="0" fontId="19" fillId="0" borderId="6" xfId="0" applyFont="1" applyBorder="1" applyAlignment="1">
      <alignment horizontal="center" wrapText="1"/>
    </xf>
    <xf numFmtId="0" fontId="19" fillId="0" borderId="7" xfId="0" applyFont="1" applyBorder="1" applyAlignment="1">
      <alignment horizontal="center" wrapText="1"/>
    </xf>
    <xf numFmtId="0" fontId="19" fillId="0" borderId="8" xfId="0" applyFont="1" applyBorder="1" applyAlignment="1">
      <alignment horizontal="center" wrapText="1"/>
    </xf>
    <xf numFmtId="0" fontId="19" fillId="0" borderId="9" xfId="0" applyFont="1" applyBorder="1" applyAlignment="1">
      <alignment horizontal="center" wrapText="1"/>
    </xf>
    <xf numFmtId="44" fontId="0" fillId="0" borderId="4" xfId="0" applyNumberFormat="1" applyBorder="1" applyAlignment="1">
      <alignment horizontal="center"/>
    </xf>
    <xf numFmtId="0" fontId="11" fillId="0" borderId="0" xfId="0" applyFont="1" applyAlignment="1">
      <alignment horizontal="left" wrapText="1"/>
    </xf>
    <xf numFmtId="0" fontId="17" fillId="9" borderId="0" xfId="0" applyFont="1" applyFill="1" applyAlignment="1">
      <alignment horizontal="right" vertical="top"/>
    </xf>
    <xf numFmtId="0" fontId="0" fillId="0" borderId="4" xfId="0" applyBorder="1" applyAlignment="1">
      <alignment horizontal="center"/>
    </xf>
  </cellXfs>
  <cellStyles count="3">
    <cellStyle name="Currency" xfId="2" builtinId="4"/>
    <cellStyle name="Normal" xfId="0" builtinId="0"/>
    <cellStyle name="Percent" xfId="1" builtinId="5"/>
  </cellStyles>
  <dxfs count="1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https://www.bing.com/financeapi/forcetrigger?t=a1rgxm&amp;q=XNAS%3aDXCM&amp;form=skydnc</v>
    <v>Learn more on Bing</v>
  </rv>
  <rv s="1">
    <v>en-US</v>
    <v>a1rgxm</v>
    <v>268435456</v>
    <v>1</v>
    <v>Powered by Refinitiv</v>
    <v>0</v>
    <v>DEXCOM, INC. (XNAS:DXCM)</v>
    <v>2</v>
    <v>3</v>
    <v>Finance</v>
    <v>4</v>
    <v>117.19</v>
    <v>57.52</v>
    <v>1.4494</v>
    <v>1.31</v>
    <v>1.5405E-2</v>
    <v>USD</v>
    <v>DexCom, Inc. is a medical device company. The Company is primarily focused on the design, development, and commercialization of continuous glucose monitoring (CGM), systems for the management of diabetes and metabolic health by patients, caregivers, and clinicians. Its products include Dexcom G6, Dexcom G7, Stelo, Dexcom Share, and Dexcom ONE. The Company enables people to take control of health through innovative biosensing technology. Dexcom G6 is its integrated continuous glucose monitoring system (iCGM). Stelo is designed specifically for people with type II diabetes who do not use insulin as the first over-the-counter glucose biosensor in the United States. The Dexcom Share remote monitoring system, offered for use with any Dexcom system, uses an app on the patient’s compatible mobile device. Its Dexcom G7 is for adults and children (2+ years) living with type I or type II diabetes who are on any insulin or medications, at risk of hypoglycemia, and those with gestational diabetes.</v>
    <v>10300</v>
    <v>Nasdaq Stock Market</v>
    <v>XNAS</v>
    <v>XNAS</v>
    <v>6340 Sequence Dr, SAN DIEGO, CA, 92121 US</v>
    <v>87.48</v>
    <v>Healthcare Equipment &amp; Supplies</v>
    <v>Stock</v>
    <v>45835.67750252266</v>
    <v>0</v>
    <v>84.84</v>
    <v>33858482624</v>
    <v>DEXCOM, INC.</v>
    <v>DEXCOM, INC.</v>
    <v>85</v>
    <v>66.214200000000005</v>
    <v>85.04</v>
    <v>86.35</v>
    <v>392107500</v>
    <v>DXCM</v>
    <v>DEXCOM, INC. (XNAS:DXCM)</v>
    <v>1177008</v>
    <v>3343525</v>
    <v>1999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07BB7-A521-4FB2-9CCD-EDE219750764}">
  <sheetPr>
    <outlinePr summaryBelow="0" summaryRight="0"/>
  </sheetPr>
  <dimension ref="A1:AI173"/>
  <sheetViews>
    <sheetView showGridLines="0" tabSelected="1" zoomScale="85" zoomScaleNormal="59" workbookViewId="0">
      <selection activeCell="C60" sqref="C60"/>
    </sheetView>
  </sheetViews>
  <sheetFormatPr defaultColWidth="12.875" defaultRowHeight="14.95" customHeight="1" x14ac:dyDescent="0.2"/>
  <cols>
    <col min="1" max="1" width="40.375" customWidth="1"/>
  </cols>
  <sheetData>
    <row r="1" spans="1:10" ht="32.950000000000003" customHeight="1" x14ac:dyDescent="0.4">
      <c r="A1" s="128" t="s">
        <v>0</v>
      </c>
      <c r="B1" s="29" t="s">
        <v>175</v>
      </c>
      <c r="C1" s="129" t="s">
        <v>287</v>
      </c>
    </row>
    <row r="2" spans="1:10" ht="14.95" customHeight="1" x14ac:dyDescent="0.2">
      <c r="A2" t="e" vm="1">
        <v>#VALUE!</v>
      </c>
      <c r="B2" s="132" cm="1">
        <f t="array" aca="1" ref="B2" ca="1">_FV(A2,"Price")</f>
        <v>86.35</v>
      </c>
      <c r="C2" s="141">
        <f ca="1">J3*IS!F40*1000000</f>
        <v>33279289999.999992</v>
      </c>
      <c r="D2" s="141"/>
      <c r="H2" s="137" t="s">
        <v>280</v>
      </c>
      <c r="I2" s="138"/>
    </row>
    <row r="3" spans="1:10" ht="23.95" customHeight="1" x14ac:dyDescent="0.35">
      <c r="A3" s="61" t="s">
        <v>168</v>
      </c>
      <c r="B3" s="62"/>
      <c r="C3" s="62" t="str">
        <f>IS!C8</f>
        <v>DEC '20</v>
      </c>
      <c r="D3" s="62" t="str">
        <f>IS!D8</f>
        <v>DEC '21</v>
      </c>
      <c r="E3" s="62" t="str">
        <f>IS!E8</f>
        <v>DEC '22</v>
      </c>
      <c r="F3" s="63" t="str">
        <f>IS!F8</f>
        <v>DEC '23</v>
      </c>
      <c r="H3" s="139"/>
      <c r="I3" s="140"/>
      <c r="J3" s="133">
        <f ca="1">B2</f>
        <v>86.35</v>
      </c>
    </row>
    <row r="4" spans="1:10" ht="14.95" customHeight="1" x14ac:dyDescent="0.25">
      <c r="A4" s="64" t="str">
        <f>IS!A9</f>
        <v>Sales</v>
      </c>
      <c r="B4" s="65">
        <f>IS!B9</f>
        <v>1476</v>
      </c>
      <c r="C4" s="65">
        <f>IS!C9</f>
        <v>1926.7</v>
      </c>
      <c r="D4" s="65">
        <f>IS!D9</f>
        <v>2448.5</v>
      </c>
      <c r="E4" s="65">
        <f>IS!E9</f>
        <v>2909.8</v>
      </c>
      <c r="F4" s="66">
        <f>IS!F9</f>
        <v>3622.3</v>
      </c>
    </row>
    <row r="5" spans="1:10" ht="14.95" customHeight="1" x14ac:dyDescent="0.2">
      <c r="A5" s="67" t="s">
        <v>171</v>
      </c>
      <c r="B5" s="68">
        <f t="shared" ref="B5:F5" si="0">B29</f>
        <v>0.43078712679333087</v>
      </c>
      <c r="C5" s="68">
        <f t="shared" si="0"/>
        <v>0.30535230352303527</v>
      </c>
      <c r="D5" s="68">
        <f t="shared" si="0"/>
        <v>0.27082576426013388</v>
      </c>
      <c r="E5" s="68">
        <f t="shared" si="0"/>
        <v>0.18840106187461719</v>
      </c>
      <c r="F5" s="69">
        <f t="shared" si="0"/>
        <v>0.24486218984122618</v>
      </c>
    </row>
    <row r="6" spans="1:10" ht="14.95" customHeight="1" x14ac:dyDescent="0.25">
      <c r="A6" s="70"/>
      <c r="F6" s="60"/>
    </row>
    <row r="7" spans="1:10" ht="14.95" customHeight="1" x14ac:dyDescent="0.25">
      <c r="A7" s="64" t="str">
        <f>IS!A19</f>
        <v>EBIT</v>
      </c>
      <c r="B7" s="65">
        <f>IS!B19</f>
        <v>142.30000000000001</v>
      </c>
      <c r="C7" s="65">
        <f>IS!C19</f>
        <v>299.5</v>
      </c>
      <c r="D7" s="65">
        <f>IS!D19</f>
        <v>265.8</v>
      </c>
      <c r="E7" s="65">
        <f>IS!E19</f>
        <v>391.2</v>
      </c>
      <c r="F7" s="66">
        <f>IS!F19</f>
        <v>597.70000000000005</v>
      </c>
    </row>
    <row r="8" spans="1:10" ht="14.95" customHeight="1" x14ac:dyDescent="0.2">
      <c r="A8" s="67" t="s">
        <v>170</v>
      </c>
      <c r="B8" s="71">
        <f>B7/B4</f>
        <v>9.6409214092140927E-2</v>
      </c>
      <c r="C8" s="71">
        <f t="shared" ref="C8:F8" si="1">C7/C4</f>
        <v>0.1554471375927752</v>
      </c>
      <c r="D8" s="71">
        <f t="shared" si="1"/>
        <v>0.10855625893404125</v>
      </c>
      <c r="E8" s="71">
        <f t="shared" si="1"/>
        <v>0.13444222970650901</v>
      </c>
      <c r="F8" s="72">
        <f t="shared" si="1"/>
        <v>0.16500565938768186</v>
      </c>
    </row>
    <row r="9" spans="1:10" ht="14.95" customHeight="1" x14ac:dyDescent="0.25">
      <c r="A9" s="70"/>
      <c r="F9" s="60"/>
    </row>
    <row r="10" spans="1:10" ht="14.95" customHeight="1" x14ac:dyDescent="0.25">
      <c r="A10" s="64" t="s">
        <v>169</v>
      </c>
      <c r="B10" s="65">
        <f>IS!B29</f>
        <v>3.1</v>
      </c>
      <c r="C10" s="65">
        <f>IS!C29</f>
        <v>-268.60000000000002</v>
      </c>
      <c r="D10" s="65">
        <f>IS!D29</f>
        <v>39.9</v>
      </c>
      <c r="E10" s="65">
        <f>IS!E29</f>
        <v>49.6</v>
      </c>
      <c r="F10" s="66">
        <f>IS!F29</f>
        <v>168.9</v>
      </c>
    </row>
    <row r="11" spans="1:10" ht="14.95" customHeight="1" x14ac:dyDescent="0.2">
      <c r="A11" s="73" t="s">
        <v>172</v>
      </c>
      <c r="B11" s="45">
        <f>B10/B7</f>
        <v>2.1784961349262121E-2</v>
      </c>
      <c r="C11" s="45">
        <f t="shared" ref="C11:F11" si="2">C10/C7</f>
        <v>-0.89682804674457439</v>
      </c>
      <c r="D11" s="45">
        <f t="shared" si="2"/>
        <v>0.15011286681715574</v>
      </c>
      <c r="E11" s="45">
        <f t="shared" si="2"/>
        <v>0.12678936605316973</v>
      </c>
      <c r="F11" s="58">
        <f t="shared" si="2"/>
        <v>0.28258323573699179</v>
      </c>
    </row>
    <row r="12" spans="1:10" ht="14.95" customHeight="1" x14ac:dyDescent="0.25">
      <c r="A12" s="1"/>
      <c r="I12" t="s">
        <v>270</v>
      </c>
    </row>
    <row r="13" spans="1:10" ht="14.95" customHeight="1" x14ac:dyDescent="0.25">
      <c r="A13" s="61" t="s">
        <v>173</v>
      </c>
      <c r="B13" s="62">
        <f>B3</f>
        <v>0</v>
      </c>
      <c r="C13" s="62" t="str">
        <f t="shared" ref="C13:F13" si="3">C3</f>
        <v>DEC '20</v>
      </c>
      <c r="D13" s="62" t="str">
        <f t="shared" si="3"/>
        <v>DEC '21</v>
      </c>
      <c r="E13" s="62" t="str">
        <f t="shared" si="3"/>
        <v>DEC '22</v>
      </c>
      <c r="F13" s="63" t="str">
        <f t="shared" si="3"/>
        <v>DEC '23</v>
      </c>
    </row>
    <row r="14" spans="1:10" ht="14.95" customHeight="1" x14ac:dyDescent="0.25">
      <c r="A14" s="64" t="s">
        <v>174</v>
      </c>
      <c r="B14" s="65">
        <f>IS!B48</f>
        <v>48.7</v>
      </c>
      <c r="C14" s="65">
        <f>IS!C48</f>
        <v>67.099999999999994</v>
      </c>
      <c r="D14" s="65">
        <f>IS!D48</f>
        <v>101.9</v>
      </c>
      <c r="E14" s="65">
        <f>IS!E48</f>
        <v>155.9</v>
      </c>
      <c r="F14" s="66">
        <f>IS!F48</f>
        <v>186</v>
      </c>
    </row>
    <row r="15" spans="1:10" ht="14.95" customHeight="1" x14ac:dyDescent="0.2">
      <c r="A15" s="67" t="s">
        <v>176</v>
      </c>
      <c r="B15" s="71">
        <f>B14/B$4</f>
        <v>3.2994579945799463E-2</v>
      </c>
      <c r="C15" s="71">
        <f t="shared" ref="C15:F15" si="4">C14/C4</f>
        <v>3.4826387086728597E-2</v>
      </c>
      <c r="D15" s="71">
        <f t="shared" si="4"/>
        <v>4.1617316724525219E-2</v>
      </c>
      <c r="E15" s="71">
        <f t="shared" si="4"/>
        <v>5.357756546841707E-2</v>
      </c>
      <c r="F15" s="72">
        <f t="shared" si="4"/>
        <v>5.134859067443337E-2</v>
      </c>
    </row>
    <row r="16" spans="1:10" ht="14.95" customHeight="1" x14ac:dyDescent="0.25">
      <c r="A16" s="70"/>
      <c r="F16" s="60"/>
    </row>
    <row r="17" spans="1:35" ht="14.95" customHeight="1" x14ac:dyDescent="0.25">
      <c r="A17" s="64" t="s">
        <v>177</v>
      </c>
      <c r="B17" s="65">
        <f>CFS!B27</f>
        <v>-180</v>
      </c>
      <c r="C17" s="65">
        <f>CFS!C27</f>
        <v>-199</v>
      </c>
      <c r="D17" s="65">
        <f>CFS!D27</f>
        <v>-389.2</v>
      </c>
      <c r="E17" s="65">
        <f>CFS!E27</f>
        <v>-364.8</v>
      </c>
      <c r="F17" s="66">
        <f>CFS!F27</f>
        <v>-236.6</v>
      </c>
    </row>
    <row r="18" spans="1:35" ht="14.95" customHeight="1" x14ac:dyDescent="0.2">
      <c r="A18" s="67" t="s">
        <v>176</v>
      </c>
      <c r="B18" s="71">
        <f>-B17/B$4</f>
        <v>0.12195121951219512</v>
      </c>
      <c r="C18" s="71">
        <f t="shared" ref="C18:F18" si="5">-C17/C$4</f>
        <v>0.10328541028701925</v>
      </c>
      <c r="D18" s="71">
        <f t="shared" si="5"/>
        <v>0.15895446191545845</v>
      </c>
      <c r="E18" s="71">
        <f t="shared" si="5"/>
        <v>0.1253694411987078</v>
      </c>
      <c r="F18" s="72">
        <f t="shared" si="5"/>
        <v>6.5317615879413621E-2</v>
      </c>
    </row>
    <row r="19" spans="1:35" ht="14.95" customHeight="1" x14ac:dyDescent="0.25">
      <c r="A19" s="70"/>
      <c r="F19" s="60"/>
    </row>
    <row r="20" spans="1:35" ht="14.95" customHeight="1" x14ac:dyDescent="0.25">
      <c r="A20" s="64" t="s">
        <v>178</v>
      </c>
      <c r="B20" s="65">
        <f>CFS!B19</f>
        <v>6.1</v>
      </c>
      <c r="C20" s="65">
        <f>CFS!C19</f>
        <v>-20.8</v>
      </c>
      <c r="D20" s="65">
        <f>CFS!D19</f>
        <v>-132</v>
      </c>
      <c r="E20" s="65">
        <f>CFS!E19</f>
        <v>26.7</v>
      </c>
      <c r="F20" s="66">
        <f>CFS!F19</f>
        <v>3.2</v>
      </c>
    </row>
    <row r="21" spans="1:35" ht="14.95" customHeight="1" x14ac:dyDescent="0.2">
      <c r="A21" s="73" t="s">
        <v>176</v>
      </c>
      <c r="B21" s="45">
        <f t="shared" ref="B21:F21" si="6">B20/B$4</f>
        <v>4.1327913279132792E-3</v>
      </c>
      <c r="C21" s="45">
        <f t="shared" si="6"/>
        <v>-1.0795660974723622E-2</v>
      </c>
      <c r="D21" s="45">
        <f t="shared" si="6"/>
        <v>-5.3910557484173983E-2</v>
      </c>
      <c r="E21" s="45">
        <f t="shared" si="6"/>
        <v>9.1758883772080548E-3</v>
      </c>
      <c r="F21" s="58">
        <f t="shared" si="6"/>
        <v>8.8341661375369244E-4</v>
      </c>
    </row>
    <row r="24" spans="1:35" s="37" customFormat="1" ht="29.05" customHeight="1" x14ac:dyDescent="0.4">
      <c r="A24" s="38" t="s">
        <v>179</v>
      </c>
    </row>
    <row r="25" spans="1:35" ht="14.95" customHeight="1" x14ac:dyDescent="0.2">
      <c r="A25" t="s">
        <v>213</v>
      </c>
    </row>
    <row r="27" spans="1:35" ht="14.95" customHeight="1" x14ac:dyDescent="0.25">
      <c r="A27" s="61" t="str">
        <f>A3</f>
        <v>Income Statement</v>
      </c>
      <c r="B27" s="62" t="str">
        <f>IS!B8</f>
        <v>DEC '19</v>
      </c>
      <c r="C27" s="62" t="str">
        <f>IS!C8</f>
        <v>DEC '20</v>
      </c>
      <c r="D27" s="62" t="s">
        <v>1</v>
      </c>
      <c r="E27" s="62" t="s">
        <v>2</v>
      </c>
      <c r="F27" s="62" t="s">
        <v>3</v>
      </c>
      <c r="G27" s="62" t="s">
        <v>4</v>
      </c>
      <c r="H27" s="62" t="s">
        <v>5</v>
      </c>
      <c r="I27" s="62" t="s">
        <v>6</v>
      </c>
      <c r="J27" s="62" t="s">
        <v>7</v>
      </c>
      <c r="K27" s="62" t="s">
        <v>8</v>
      </c>
      <c r="L27" s="62" t="s">
        <v>166</v>
      </c>
      <c r="M27" s="62" t="s">
        <v>167</v>
      </c>
      <c r="N27" s="62" t="s">
        <v>214</v>
      </c>
      <c r="O27" s="62" t="s">
        <v>215</v>
      </c>
      <c r="P27" s="63" t="s">
        <v>216</v>
      </c>
    </row>
    <row r="28" spans="1:35" ht="14.95" customHeight="1" x14ac:dyDescent="0.25">
      <c r="A28" s="64" t="s">
        <v>9</v>
      </c>
      <c r="B28" s="103">
        <f>IS!B9</f>
        <v>1476</v>
      </c>
      <c r="C28" s="103">
        <f>IS!C9</f>
        <v>1926.7</v>
      </c>
      <c r="D28" s="103">
        <v>2448.5</v>
      </c>
      <c r="E28" s="103">
        <v>2909.8</v>
      </c>
      <c r="F28" s="103">
        <v>3622.3</v>
      </c>
      <c r="G28" s="95">
        <v>4327.5</v>
      </c>
      <c r="H28" s="95">
        <v>5151.91</v>
      </c>
      <c r="I28" s="95">
        <v>6068.34</v>
      </c>
      <c r="J28" s="95">
        <v>6937.92</v>
      </c>
      <c r="K28" s="95">
        <v>7936</v>
      </c>
      <c r="L28" s="96">
        <f>K28*(L29+1)</f>
        <v>8893.3712041787767</v>
      </c>
      <c r="M28" s="96">
        <f>L28*(M29+1)</f>
        <v>9885.1774764683414</v>
      </c>
      <c r="N28" s="96">
        <f t="shared" ref="N28:P28" si="7">M28*(N29+1)</f>
        <v>10946.621908054645</v>
      </c>
      <c r="O28" s="96">
        <f t="shared" si="7"/>
        <v>12061.653045090099</v>
      </c>
      <c r="P28" s="97">
        <f t="shared" si="7"/>
        <v>13222.322151083468</v>
      </c>
      <c r="Q28" t="s">
        <v>294</v>
      </c>
      <c r="AI28">
        <v>-1</v>
      </c>
    </row>
    <row r="29" spans="1:35" ht="14.95" customHeight="1" x14ac:dyDescent="0.2">
      <c r="A29" s="74" t="s">
        <v>171</v>
      </c>
      <c r="B29" s="71">
        <f>(B28-1031.6)/1031.6</f>
        <v>0.43078712679333087</v>
      </c>
      <c r="C29" s="71">
        <f>(C28-IS!B9)/IS!B9</f>
        <v>0.30535230352303527</v>
      </c>
      <c r="D29" s="71">
        <f>(D28-IS!C9)/IS!C9</f>
        <v>0.27082576426013388</v>
      </c>
      <c r="E29" s="71">
        <f>(E28-IS!D9)/IS!D9</f>
        <v>0.18840106187461719</v>
      </c>
      <c r="F29" s="71">
        <f>(F28-IS!E9)/IS!E9</f>
        <v>0.24486218984122618</v>
      </c>
      <c r="G29" s="71">
        <f>(G28-IS!F9)/IS!F9</f>
        <v>0.19468293625596991</v>
      </c>
      <c r="H29" s="71">
        <f>(H28-G28)/H28</f>
        <v>0.1600202643291517</v>
      </c>
      <c r="I29" s="71">
        <f t="shared" ref="I29:K29" si="8">(I28-H28)/I28</f>
        <v>0.15101823562951322</v>
      </c>
      <c r="J29" s="71">
        <f t="shared" si="8"/>
        <v>0.12533727687837276</v>
      </c>
      <c r="K29" s="71">
        <f t="shared" si="8"/>
        <v>0.12576612903225806</v>
      </c>
      <c r="L29" s="71">
        <f>AVERAGE(I29:K29)*0.9</f>
        <v>0.12063649246204322</v>
      </c>
      <c r="M29" s="71">
        <f t="shared" ref="M29:P29" si="9">AVERAGE(J29:L29)*0.9</f>
        <v>0.11152196951180222</v>
      </c>
      <c r="N29" s="71">
        <f t="shared" si="9"/>
        <v>0.10737737730183106</v>
      </c>
      <c r="O29" s="71">
        <f>AVERAGE(L29:N29)*0.9</f>
        <v>0.10186075178270294</v>
      </c>
      <c r="P29" s="71">
        <f t="shared" si="9"/>
        <v>9.6228029578900851E-2</v>
      </c>
      <c r="Q29" s="71"/>
      <c r="R29" s="71"/>
      <c r="S29" s="71"/>
      <c r="T29" s="71"/>
      <c r="U29" s="71"/>
      <c r="V29" s="71"/>
      <c r="W29" s="71"/>
      <c r="X29" s="71"/>
      <c r="Y29" s="71"/>
      <c r="Z29" s="71"/>
      <c r="AA29" s="71"/>
      <c r="AB29" s="71"/>
    </row>
    <row r="30" spans="1:35" ht="14.95" customHeight="1" x14ac:dyDescent="0.2">
      <c r="A30" s="75"/>
      <c r="B30" s="4"/>
      <c r="C30" s="5"/>
      <c r="D30" s="5"/>
      <c r="E30" s="5"/>
      <c r="F30" s="5"/>
      <c r="G30" s="5"/>
      <c r="H30" s="5"/>
      <c r="I30" s="5"/>
      <c r="P30" s="60"/>
    </row>
    <row r="31" spans="1:35" ht="14.95" customHeight="1" x14ac:dyDescent="0.25">
      <c r="A31" s="64" t="str">
        <f t="shared" ref="A31:F31" si="10">A7</f>
        <v>EBIT</v>
      </c>
      <c r="B31" s="103">
        <f t="shared" si="10"/>
        <v>142.30000000000001</v>
      </c>
      <c r="C31" s="103">
        <f t="shared" si="10"/>
        <v>299.5</v>
      </c>
      <c r="D31" s="103">
        <f t="shared" si="10"/>
        <v>265.8</v>
      </c>
      <c r="E31" s="103">
        <f t="shared" si="10"/>
        <v>391.2</v>
      </c>
      <c r="F31" s="104">
        <f t="shared" si="10"/>
        <v>597.70000000000005</v>
      </c>
      <c r="G31" s="95">
        <f>'IS est'!E30</f>
        <v>865.05200000000002</v>
      </c>
      <c r="H31" s="95">
        <f>'IS est'!F30</f>
        <v>1154.01</v>
      </c>
      <c r="I31" s="95">
        <f>'IS est'!G30</f>
        <v>1479.04</v>
      </c>
      <c r="J31" s="95">
        <f>'IS est'!H30</f>
        <v>1688.45</v>
      </c>
      <c r="K31" s="95">
        <f>'IS est'!I30</f>
        <v>1971.6</v>
      </c>
      <c r="L31" s="96">
        <f>L32*L28</f>
        <v>2343.991864567744</v>
      </c>
      <c r="M31" s="96">
        <f t="shared" ref="M31:P31" si="11">M32*M28</f>
        <v>2675.6599017855128</v>
      </c>
      <c r="N31" s="96">
        <f t="shared" si="11"/>
        <v>3070.0838754524061</v>
      </c>
      <c r="O31" s="96">
        <f t="shared" si="11"/>
        <v>3521.2068765590425</v>
      </c>
      <c r="P31" s="97">
        <f t="shared" si="11"/>
        <v>3994.4524789564434</v>
      </c>
    </row>
    <row r="32" spans="1:35" ht="14.95" customHeight="1" x14ac:dyDescent="0.2">
      <c r="A32" s="67" t="s">
        <v>170</v>
      </c>
      <c r="B32" s="71">
        <f>B31/B28</f>
        <v>9.6409214092140927E-2</v>
      </c>
      <c r="C32" s="71">
        <f t="shared" ref="C32:G32" si="12">C31/C28</f>
        <v>0.1554471375927752</v>
      </c>
      <c r="D32" s="71">
        <f t="shared" si="12"/>
        <v>0.10855625893404125</v>
      </c>
      <c r="E32" s="71">
        <f t="shared" si="12"/>
        <v>0.13444222970650901</v>
      </c>
      <c r="F32" s="71">
        <f t="shared" si="12"/>
        <v>0.16500565938768186</v>
      </c>
      <c r="G32" s="71">
        <f t="shared" si="12"/>
        <v>0.19989647602541885</v>
      </c>
      <c r="H32" s="71">
        <f>H31/H28</f>
        <v>0.22399653720658941</v>
      </c>
      <c r="I32" s="71">
        <f>I31/I28</f>
        <v>0.24373057541271581</v>
      </c>
      <c r="J32" s="71">
        <f>J31/J28</f>
        <v>0.24336544670448781</v>
      </c>
      <c r="K32" s="71">
        <f>K31/K28</f>
        <v>0.24843749999999998</v>
      </c>
      <c r="L32" s="68">
        <f t="shared" ref="L32:N32" si="13">AVERAGE(I32:K32)*1.075</f>
        <v>0.26356617875866462</v>
      </c>
      <c r="M32" s="68">
        <f t="shared" si="13"/>
        <v>0.27067393662429629</v>
      </c>
      <c r="N32" s="68">
        <f t="shared" si="13"/>
        <v>0.28045947884556099</v>
      </c>
      <c r="O32" s="68">
        <f>AVERAGE(L32:N32)*1.075</f>
        <v>0.29193402126522033</v>
      </c>
      <c r="P32" s="69">
        <f>AVERAGE(M32:O32)*1.075</f>
        <v>0.30209916483006949</v>
      </c>
      <c r="Q32" s="135" t="s">
        <v>295</v>
      </c>
      <c r="R32" s="135"/>
      <c r="S32" s="135"/>
      <c r="T32" s="135"/>
      <c r="U32" s="135"/>
      <c r="V32" s="135"/>
      <c r="W32" s="135"/>
      <c r="X32" s="135"/>
      <c r="Y32" s="135"/>
      <c r="Z32" s="135"/>
      <c r="AA32" s="135"/>
      <c r="AB32" s="135"/>
    </row>
    <row r="33" spans="1:28" ht="14.95" customHeight="1" x14ac:dyDescent="0.2">
      <c r="A33" s="40"/>
      <c r="P33" s="60"/>
      <c r="Q33" s="135"/>
      <c r="R33" s="135"/>
      <c r="S33" s="135"/>
      <c r="T33" s="135"/>
      <c r="U33" s="135"/>
      <c r="V33" s="135"/>
      <c r="W33" s="135"/>
      <c r="X33" s="135"/>
      <c r="Y33" s="135"/>
      <c r="Z33" s="135"/>
      <c r="AA33" s="135"/>
      <c r="AB33" s="135"/>
    </row>
    <row r="34" spans="1:28" ht="14.95" customHeight="1" x14ac:dyDescent="0.25">
      <c r="A34" s="64" t="str">
        <f t="shared" ref="A34:F35" si="14">A10</f>
        <v>Taxes</v>
      </c>
      <c r="B34" s="103">
        <f t="shared" si="14"/>
        <v>3.1</v>
      </c>
      <c r="C34" s="103">
        <f t="shared" si="14"/>
        <v>-268.60000000000002</v>
      </c>
      <c r="D34" s="103">
        <f t="shared" si="14"/>
        <v>39.9</v>
      </c>
      <c r="E34" s="103">
        <f t="shared" si="14"/>
        <v>49.6</v>
      </c>
      <c r="F34" s="103">
        <f t="shared" si="14"/>
        <v>168.9</v>
      </c>
      <c r="G34" s="95">
        <f>'IS est'!E35</f>
        <v>233.76900000000001</v>
      </c>
      <c r="H34" s="95">
        <f>'IS est'!F35</f>
        <v>286.16000000000003</v>
      </c>
      <c r="I34" s="95">
        <f>'IS est'!G35</f>
        <v>350.48899999999998</v>
      </c>
      <c r="J34" s="95">
        <f>'IS est'!H35</f>
        <v>411.82</v>
      </c>
      <c r="K34" s="95">
        <f>'IS est'!I35</f>
        <v>460.02499999999998</v>
      </c>
      <c r="L34" s="96">
        <f>L31*(L35)</f>
        <v>577.75065684461129</v>
      </c>
      <c r="M34" s="96">
        <f t="shared" ref="M34:P34" si="15">M31*(M35)</f>
        <v>646.78840950568394</v>
      </c>
      <c r="N34" s="96">
        <f t="shared" si="15"/>
        <v>738.30140753867397</v>
      </c>
      <c r="O34" s="96">
        <f t="shared" si="15"/>
        <v>849.26180382480675</v>
      </c>
      <c r="P34" s="97">
        <f t="shared" si="15"/>
        <v>961.22905117888536</v>
      </c>
    </row>
    <row r="35" spans="1:28" ht="14.95" customHeight="1" x14ac:dyDescent="0.2">
      <c r="A35" s="76" t="str">
        <f t="shared" si="14"/>
        <v>% operating income</v>
      </c>
      <c r="B35" s="45">
        <f>B34/B31</f>
        <v>2.1784961349262121E-2</v>
      </c>
      <c r="C35" s="45">
        <f t="shared" ref="C35:G35" si="16">C34/C31</f>
        <v>-0.89682804674457439</v>
      </c>
      <c r="D35" s="45">
        <f t="shared" si="16"/>
        <v>0.15011286681715574</v>
      </c>
      <c r="E35" s="45">
        <f t="shared" si="16"/>
        <v>0.12678936605316973</v>
      </c>
      <c r="F35" s="45">
        <f t="shared" si="16"/>
        <v>0.28258323573699179</v>
      </c>
      <c r="G35" s="45">
        <f t="shared" si="16"/>
        <v>0.27023693373346341</v>
      </c>
      <c r="H35" s="45">
        <f>H34/H31</f>
        <v>0.24797012157606957</v>
      </c>
      <c r="I35" s="45">
        <f>I34/I31</f>
        <v>0.23697060255300734</v>
      </c>
      <c r="J35" s="45">
        <f>J34/J31</f>
        <v>0.24390417246587107</v>
      </c>
      <c r="K35" s="45">
        <f>K34/K31</f>
        <v>0.23332572529924933</v>
      </c>
      <c r="L35" s="77">
        <f>AVERAGE(G35:K35)</f>
        <v>0.24648151112553215</v>
      </c>
      <c r="M35" s="77">
        <f t="shared" ref="M35:P35" si="17">AVERAGE(H35:L35)</f>
        <v>0.24173042660394589</v>
      </c>
      <c r="N35" s="77">
        <f t="shared" si="17"/>
        <v>0.24048248760952115</v>
      </c>
      <c r="O35" s="77">
        <f t="shared" si="17"/>
        <v>0.24118486462082389</v>
      </c>
      <c r="P35" s="78">
        <f t="shared" si="17"/>
        <v>0.24064100305181446</v>
      </c>
      <c r="Q35" t="s">
        <v>217</v>
      </c>
    </row>
    <row r="37" spans="1:28" ht="14.95" customHeight="1" x14ac:dyDescent="0.25">
      <c r="A37" s="61" t="str">
        <f t="shared" ref="A37:F45" si="18">A13</f>
        <v>Cash Flows</v>
      </c>
      <c r="B37" s="62">
        <f t="shared" si="18"/>
        <v>0</v>
      </c>
      <c r="C37" s="62" t="str">
        <f t="shared" si="18"/>
        <v>DEC '20</v>
      </c>
      <c r="D37" s="62" t="str">
        <f t="shared" si="18"/>
        <v>DEC '21</v>
      </c>
      <c r="E37" s="62" t="str">
        <f t="shared" si="18"/>
        <v>DEC '22</v>
      </c>
      <c r="F37" s="62" t="str">
        <f t="shared" si="18"/>
        <v>DEC '23</v>
      </c>
      <c r="G37" s="62" t="str">
        <f t="shared" ref="G37" si="19">G27</f>
        <v>Dec '24E</v>
      </c>
      <c r="H37" s="62" t="str">
        <f t="shared" ref="H37:M37" si="20">H27</f>
        <v>Dec '25E</v>
      </c>
      <c r="I37" s="62" t="str">
        <f t="shared" si="20"/>
        <v>Dec '26E</v>
      </c>
      <c r="J37" s="62" t="str">
        <f t="shared" si="20"/>
        <v>Dec '27E</v>
      </c>
      <c r="K37" s="62" t="str">
        <f t="shared" si="20"/>
        <v>Dec '28E</v>
      </c>
      <c r="L37" s="62" t="str">
        <f t="shared" si="20"/>
        <v>Dec '29E</v>
      </c>
      <c r="M37" s="62" t="str">
        <f t="shared" si="20"/>
        <v>Dec '30E</v>
      </c>
      <c r="N37" s="62" t="s">
        <v>214</v>
      </c>
      <c r="O37" s="62" t="s">
        <v>215</v>
      </c>
      <c r="P37" s="63" t="s">
        <v>216</v>
      </c>
    </row>
    <row r="38" spans="1:28" ht="14.95" customHeight="1" x14ac:dyDescent="0.25">
      <c r="A38" s="64" t="str">
        <f t="shared" si="18"/>
        <v>D&amp;A</v>
      </c>
      <c r="B38" s="103">
        <f t="shared" si="18"/>
        <v>48.7</v>
      </c>
      <c r="C38" s="103">
        <f t="shared" si="18"/>
        <v>67.099999999999994</v>
      </c>
      <c r="D38" s="103">
        <f t="shared" si="18"/>
        <v>101.9</v>
      </c>
      <c r="E38" s="103">
        <f t="shared" si="18"/>
        <v>155.9</v>
      </c>
      <c r="F38" s="103">
        <f t="shared" si="18"/>
        <v>186</v>
      </c>
      <c r="G38" s="95">
        <f>'IS est'!E23</f>
        <v>241.99299999999999</v>
      </c>
      <c r="H38" s="95">
        <f>'IS est'!F23</f>
        <v>298.92700000000002</v>
      </c>
      <c r="I38" s="95">
        <f>'IS est'!G23</f>
        <v>358.83199999999999</v>
      </c>
      <c r="J38" s="95">
        <f>'IS est'!H23</f>
        <v>438.59999999999991</v>
      </c>
      <c r="K38" s="95">
        <f>K39*K28</f>
        <v>534.12269397761236</v>
      </c>
      <c r="L38" s="95">
        <f t="shared" ref="L38:P38" si="21">L39*L28</f>
        <v>634.89545249674188</v>
      </c>
      <c r="M38" s="95">
        <f t="shared" si="21"/>
        <v>746.09080712054185</v>
      </c>
      <c r="N38" s="95">
        <f t="shared" si="21"/>
        <v>870.93167730325513</v>
      </c>
      <c r="O38" s="95">
        <f t="shared" si="21"/>
        <v>1008.9290153525</v>
      </c>
      <c r="P38" s="98">
        <f t="shared" si="21"/>
        <v>1160.0423111813996</v>
      </c>
      <c r="Q38" t="s">
        <v>242</v>
      </c>
    </row>
    <row r="39" spans="1:28" ht="14.95" customHeight="1" x14ac:dyDescent="0.2">
      <c r="A39" s="67" t="str">
        <f t="shared" si="18"/>
        <v>% of sales</v>
      </c>
      <c r="B39" s="71">
        <f>B38/B$28</f>
        <v>3.2994579945799463E-2</v>
      </c>
      <c r="C39" s="71">
        <f t="shared" ref="C39:G39" si="22">C38/C$28</f>
        <v>3.4826387086728597E-2</v>
      </c>
      <c r="D39" s="71">
        <f t="shared" si="22"/>
        <v>4.1617316724525219E-2</v>
      </c>
      <c r="E39" s="71">
        <f t="shared" si="22"/>
        <v>5.357756546841707E-2</v>
      </c>
      <c r="F39" s="71">
        <f t="shared" si="22"/>
        <v>5.134859067443337E-2</v>
      </c>
      <c r="G39" s="71">
        <f t="shared" si="22"/>
        <v>5.5919815135759672E-2</v>
      </c>
      <c r="H39" s="71">
        <f>H38/H$28</f>
        <v>5.8022558623889012E-2</v>
      </c>
      <c r="I39" s="71">
        <f>I38/I$28</f>
        <v>5.9131821882096251E-2</v>
      </c>
      <c r="J39" s="71">
        <f>J38/J$28</f>
        <v>6.3217794382177936E-2</v>
      </c>
      <c r="K39" s="71">
        <f>J39*(1+(J39-I39)/J39)</f>
        <v>6.7303766882259627E-2</v>
      </c>
      <c r="L39" s="71">
        <f t="shared" ref="L39:P39" si="23">K39*(1+(K39-J39)/K39)</f>
        <v>7.1389739382341319E-2</v>
      </c>
      <c r="M39" s="71">
        <f t="shared" si="23"/>
        <v>7.5475711882423011E-2</v>
      </c>
      <c r="N39" s="71">
        <f t="shared" si="23"/>
        <v>7.9561684382504702E-2</v>
      </c>
      <c r="O39" s="71">
        <f t="shared" si="23"/>
        <v>8.3647656882586394E-2</v>
      </c>
      <c r="P39" s="72">
        <f t="shared" si="23"/>
        <v>8.7733629382668085E-2</v>
      </c>
      <c r="Q39" t="s">
        <v>241</v>
      </c>
    </row>
    <row r="40" spans="1:28" ht="14.95" customHeight="1" x14ac:dyDescent="0.25">
      <c r="A40" s="70"/>
      <c r="P40" s="60"/>
    </row>
    <row r="41" spans="1:28" ht="14.95" customHeight="1" x14ac:dyDescent="0.25">
      <c r="A41" s="64" t="str">
        <f t="shared" si="18"/>
        <v>CAPEX</v>
      </c>
      <c r="B41" s="103">
        <f t="shared" si="18"/>
        <v>-180</v>
      </c>
      <c r="C41" s="103">
        <f t="shared" si="18"/>
        <v>-199</v>
      </c>
      <c r="D41" s="103">
        <f t="shared" si="18"/>
        <v>-389.2</v>
      </c>
      <c r="E41" s="103">
        <f t="shared" si="18"/>
        <v>-364.8</v>
      </c>
      <c r="F41" s="103">
        <f t="shared" si="18"/>
        <v>-236.6</v>
      </c>
      <c r="G41" s="95">
        <f>('CFS est'!E4)*-1</f>
        <v>-325.47500000000002</v>
      </c>
      <c r="H41" s="95">
        <f>('CFS est'!F4)*-1</f>
        <v>-340.45400000000001</v>
      </c>
      <c r="I41" s="95">
        <f>('CFS est'!G4)*-1</f>
        <v>-377.5</v>
      </c>
      <c r="J41" s="96">
        <f>-J42*J28</f>
        <v>-546.97048593420993</v>
      </c>
      <c r="K41" s="96">
        <f t="shared" ref="K41:P41" si="24">-K42*K28</f>
        <v>-551.80194733336327</v>
      </c>
      <c r="L41" s="96">
        <f t="shared" si="24"/>
        <v>-625.86451771454506</v>
      </c>
      <c r="M41" s="96">
        <f t="shared" si="24"/>
        <v>-686.10005227112686</v>
      </c>
      <c r="N41" s="96">
        <f t="shared" si="24"/>
        <v>-767.04874777130669</v>
      </c>
      <c r="O41" s="96">
        <f t="shared" si="24"/>
        <v>-864.15054895410435</v>
      </c>
      <c r="P41" s="97">
        <f t="shared" si="24"/>
        <v>-928.28345434018047</v>
      </c>
      <c r="Q41" t="s">
        <v>243</v>
      </c>
    </row>
    <row r="42" spans="1:28" ht="14.95" customHeight="1" x14ac:dyDescent="0.2">
      <c r="A42" s="67" t="str">
        <f t="shared" si="18"/>
        <v>% of sales</v>
      </c>
      <c r="B42" s="71">
        <f>-B41/B$28</f>
        <v>0.12195121951219512</v>
      </c>
      <c r="C42" s="71">
        <f t="shared" ref="C42:G42" si="25">-C41/C$28</f>
        <v>0.10328541028701925</v>
      </c>
      <c r="D42" s="71">
        <f t="shared" si="25"/>
        <v>0.15895446191545845</v>
      </c>
      <c r="E42" s="71">
        <f t="shared" si="25"/>
        <v>0.1253694411987078</v>
      </c>
      <c r="F42" s="71">
        <f t="shared" si="25"/>
        <v>6.5317615879413621E-2</v>
      </c>
      <c r="G42" s="71">
        <f t="shared" si="25"/>
        <v>7.5210860774119009E-2</v>
      </c>
      <c r="H42" s="71">
        <f>-H41/H$28</f>
        <v>6.608306433924506E-2</v>
      </c>
      <c r="I42" s="71">
        <f>-I41/I$28</f>
        <v>6.2208116222887973E-2</v>
      </c>
      <c r="J42" s="71">
        <f t="shared" ref="J42:P42" si="26">AVERAGE(E42:I42)</f>
        <v>7.8837819682874691E-2</v>
      </c>
      <c r="K42" s="71">
        <f t="shared" si="26"/>
        <v>6.9531495379708069E-2</v>
      </c>
      <c r="L42" s="71">
        <f t="shared" si="26"/>
        <v>7.0374271279766962E-2</v>
      </c>
      <c r="M42" s="71">
        <f t="shared" si="26"/>
        <v>6.9406953380896558E-2</v>
      </c>
      <c r="N42" s="71">
        <f t="shared" si="26"/>
        <v>7.0071731189226855E-2</v>
      </c>
      <c r="O42" s="71">
        <f t="shared" si="26"/>
        <v>7.1644454182494627E-2</v>
      </c>
      <c r="P42" s="72">
        <f t="shared" si="26"/>
        <v>7.0205781082418622E-2</v>
      </c>
      <c r="Q42" t="s">
        <v>244</v>
      </c>
    </row>
    <row r="43" spans="1:28" ht="14.95" customHeight="1" x14ac:dyDescent="0.25">
      <c r="A43" s="70"/>
      <c r="P43" s="60"/>
    </row>
    <row r="44" spans="1:28" ht="14.95" customHeight="1" x14ac:dyDescent="0.25">
      <c r="A44" s="64" t="str">
        <f t="shared" si="18"/>
        <v>Change Working Capital</v>
      </c>
      <c r="B44" s="103">
        <f t="shared" si="18"/>
        <v>6.1</v>
      </c>
      <c r="C44" s="103">
        <f t="shared" si="18"/>
        <v>-20.8</v>
      </c>
      <c r="D44" s="103">
        <f t="shared" si="18"/>
        <v>-132</v>
      </c>
      <c r="E44" s="103">
        <f t="shared" si="18"/>
        <v>26.7</v>
      </c>
      <c r="F44" s="103">
        <f t="shared" si="18"/>
        <v>3.2</v>
      </c>
      <c r="G44" s="96">
        <f>G45*G28</f>
        <v>43.719972712189538</v>
      </c>
      <c r="H44" s="96">
        <f t="shared" ref="H44:P44" si="27">H45*H28</f>
        <v>45.897427553142542</v>
      </c>
      <c r="I44" s="96">
        <f t="shared" si="27"/>
        <v>30.147040101661446</v>
      </c>
      <c r="J44" s="96">
        <f t="shared" si="27"/>
        <v>47.231790388794984</v>
      </c>
      <c r="K44" s="96">
        <f t="shared" si="27"/>
        <v>50.267821950101101</v>
      </c>
      <c r="L44" s="96">
        <f t="shared" si="27"/>
        <v>66.027036433831341</v>
      </c>
      <c r="M44" s="96">
        <f t="shared" si="27"/>
        <v>68.094959396666795</v>
      </c>
      <c r="N44" s="96">
        <f t="shared" si="27"/>
        <v>70.983889014632695</v>
      </c>
      <c r="O44" s="96">
        <f t="shared" si="27"/>
        <v>81.872963149033097</v>
      </c>
      <c r="P44" s="97">
        <f t="shared" si="27"/>
        <v>89.698808672077391</v>
      </c>
    </row>
    <row r="45" spans="1:28" ht="14.95" customHeight="1" x14ac:dyDescent="0.2">
      <c r="A45" s="73" t="str">
        <f t="shared" si="18"/>
        <v>% of sales</v>
      </c>
      <c r="B45" s="45">
        <f>B44/B$28</f>
        <v>4.1327913279132792E-3</v>
      </c>
      <c r="C45" s="45">
        <f t="shared" ref="C45:F45" si="28">C44/C$28</f>
        <v>-1.0795660974723622E-2</v>
      </c>
      <c r="D45" s="45">
        <f t="shared" si="28"/>
        <v>-5.3910557484173983E-2</v>
      </c>
      <c r="E45" s="45">
        <f t="shared" si="28"/>
        <v>9.1758883772080548E-3</v>
      </c>
      <c r="F45" s="45">
        <f t="shared" si="28"/>
        <v>8.8341661375369244E-4</v>
      </c>
      <c r="G45" s="79">
        <f>-AVERAGE(B45:F45)</f>
        <v>1.0102824428004515E-2</v>
      </c>
      <c r="H45" s="79">
        <f>(AVERAGE(C45:G45))*-1</f>
        <v>8.9088178079862693E-3</v>
      </c>
      <c r="I45" s="79">
        <f>-AVERAGE(D45:H45)</f>
        <v>4.9679220514442903E-3</v>
      </c>
      <c r="J45" s="79">
        <f>(AVERAGE(E45:I45))</f>
        <v>6.8077738556793655E-3</v>
      </c>
      <c r="K45" s="79">
        <f>AVERAGE(F45:J45)</f>
        <v>6.3341509513736268E-3</v>
      </c>
      <c r="L45" s="79">
        <f>(AVERAGE(G45:K45))</f>
        <v>7.4242978188976145E-3</v>
      </c>
      <c r="M45" s="79">
        <f>AVERAGE(H45:L45)</f>
        <v>6.8885924970762333E-3</v>
      </c>
      <c r="N45" s="79">
        <f>(AVERAGE(I45:M45))</f>
        <v>6.4845474348942268E-3</v>
      </c>
      <c r="O45" s="79">
        <f>AVERAGE(J45:N45)</f>
        <v>6.7878725115842128E-3</v>
      </c>
      <c r="P45" s="80">
        <f>(AVERAGE(K45:O45))</f>
        <v>6.7838922427651827E-3</v>
      </c>
      <c r="Q45" t="s">
        <v>289</v>
      </c>
    </row>
    <row r="48" spans="1:28" ht="14.95" customHeight="1" x14ac:dyDescent="0.25">
      <c r="A48" s="36" t="s">
        <v>258</v>
      </c>
      <c r="F48" s="47"/>
      <c r="G48" s="81">
        <f>G31-G34+G38+G41+G44</f>
        <v>591.52097271218963</v>
      </c>
      <c r="H48" s="82">
        <f t="shared" ref="H48:P48" si="29">H31-H34+H38+H41+H44</f>
        <v>872.2204275531426</v>
      </c>
      <c r="I48" s="82">
        <f t="shared" si="29"/>
        <v>1140.0300401016611</v>
      </c>
      <c r="J48" s="82">
        <f t="shared" si="29"/>
        <v>1215.4913044545849</v>
      </c>
      <c r="K48" s="82">
        <f t="shared" si="29"/>
        <v>1544.16356859435</v>
      </c>
      <c r="L48" s="82">
        <f t="shared" si="29"/>
        <v>1841.299178939161</v>
      </c>
      <c r="M48" s="82">
        <f t="shared" si="29"/>
        <v>2156.9572065259104</v>
      </c>
      <c r="N48" s="82">
        <f t="shared" si="29"/>
        <v>2506.6492864603129</v>
      </c>
      <c r="O48" s="82">
        <f t="shared" si="29"/>
        <v>2898.5965022816645</v>
      </c>
      <c r="P48" s="83">
        <f t="shared" si="29"/>
        <v>3354.6810932908547</v>
      </c>
    </row>
    <row r="49" spans="1:16" ht="14.95" customHeight="1" x14ac:dyDescent="0.25">
      <c r="A49" s="48" t="s">
        <v>246</v>
      </c>
      <c r="B49" s="107">
        <f>WACC!C27</f>
        <v>8.7205867676605958E-2</v>
      </c>
      <c r="N49" t="s">
        <v>257</v>
      </c>
      <c r="P49" s="84">
        <f>P48*(1+B50)/(B49-B50)</f>
        <v>55276.909543314287</v>
      </c>
    </row>
    <row r="50" spans="1:16" ht="14.95" customHeight="1" x14ac:dyDescent="0.25">
      <c r="A50" s="49" t="s">
        <v>250</v>
      </c>
      <c r="B50" s="108">
        <v>2.5000000000000001E-2</v>
      </c>
      <c r="C50" t="s">
        <v>261</v>
      </c>
    </row>
    <row r="52" spans="1:16" ht="14.95" customHeight="1" x14ac:dyDescent="0.2">
      <c r="A52" s="51" t="s">
        <v>251</v>
      </c>
      <c r="B52" s="52">
        <f>NPV(B49,G48,H48,I48,J48,K48,L48,M48,N48,O48,P48+P49)</f>
        <v>34432.319347390941</v>
      </c>
    </row>
    <row r="53" spans="1:16" ht="14.95" customHeight="1" x14ac:dyDescent="0.2">
      <c r="A53" s="53" t="s">
        <v>252</v>
      </c>
      <c r="B53" s="54">
        <f>BS!F12</f>
        <v>566.29999999999995</v>
      </c>
    </row>
    <row r="54" spans="1:16" ht="14.95" customHeight="1" x14ac:dyDescent="0.2">
      <c r="A54" s="53" t="s">
        <v>253</v>
      </c>
      <c r="B54" s="54">
        <f>WACC!C20</f>
        <v>2877.9</v>
      </c>
    </row>
    <row r="55" spans="1:16" ht="14.95" customHeight="1" x14ac:dyDescent="0.2">
      <c r="A55" s="49" t="s">
        <v>254</v>
      </c>
      <c r="B55" s="55">
        <f>B52+B53-B54</f>
        <v>32120.719347390943</v>
      </c>
    </row>
    <row r="57" spans="1:16" ht="14.95" customHeight="1" x14ac:dyDescent="0.2">
      <c r="A57" s="51" t="s">
        <v>256</v>
      </c>
      <c r="B57" s="56">
        <f>IS!F40</f>
        <v>385.4</v>
      </c>
    </row>
    <row r="58" spans="1:16" ht="14.95" customHeight="1" x14ac:dyDescent="0.2">
      <c r="A58" s="49" t="s">
        <v>255</v>
      </c>
      <c r="B58" s="57">
        <f>B55/B57</f>
        <v>83.343848851559272</v>
      </c>
    </row>
    <row r="59" spans="1:16" ht="14.95" customHeight="1" x14ac:dyDescent="0.2">
      <c r="B59" s="47"/>
    </row>
    <row r="60" spans="1:16" ht="14.95" customHeight="1" x14ac:dyDescent="0.2">
      <c r="A60" s="51" t="s">
        <v>279</v>
      </c>
      <c r="B60" s="94">
        <f ca="1">$J$3</f>
        <v>86.35</v>
      </c>
    </row>
    <row r="61" spans="1:16" ht="14.95" customHeight="1" x14ac:dyDescent="0.2">
      <c r="A61" s="49" t="str">
        <f ca="1">IF(B58&gt;B60,"Undervalued by","Overvalued by")</f>
        <v>Overvalued by</v>
      </c>
      <c r="B61" s="50">
        <f ca="1">IF((B58-B60)/B58&lt;0,(B58-B60)/B58*-1,(B58-B60)/B58)</f>
        <v>3.6069262337462597E-2</v>
      </c>
    </row>
    <row r="62" spans="1:16" ht="14.95" customHeight="1" x14ac:dyDescent="0.25">
      <c r="A62" s="1" t="s">
        <v>281</v>
      </c>
      <c r="B62" s="110" t="str">
        <f ca="1">IF(B60&gt;B58,"SELL","BUY")</f>
        <v>SELL</v>
      </c>
    </row>
    <row r="64" spans="1:16" ht="14.95" customHeight="1" x14ac:dyDescent="0.25">
      <c r="A64" s="36" t="s">
        <v>259</v>
      </c>
      <c r="G64" s="81">
        <f>G48</f>
        <v>591.52097271218963</v>
      </c>
      <c r="H64" s="82">
        <f t="shared" ref="H64:P64" si="30">H48</f>
        <v>872.2204275531426</v>
      </c>
      <c r="I64" s="82">
        <f t="shared" si="30"/>
        <v>1140.0300401016611</v>
      </c>
      <c r="J64" s="82">
        <f t="shared" si="30"/>
        <v>1215.4913044545849</v>
      </c>
      <c r="K64" s="82">
        <f t="shared" si="30"/>
        <v>1544.16356859435</v>
      </c>
      <c r="L64" s="82">
        <f t="shared" si="30"/>
        <v>1841.299178939161</v>
      </c>
      <c r="M64" s="82">
        <f t="shared" si="30"/>
        <v>2156.9572065259104</v>
      </c>
      <c r="N64" s="82">
        <f t="shared" si="30"/>
        <v>2506.6492864603129</v>
      </c>
      <c r="O64" s="82">
        <f t="shared" si="30"/>
        <v>2898.5965022816645</v>
      </c>
      <c r="P64" s="83">
        <f t="shared" si="30"/>
        <v>3354.6810932908547</v>
      </c>
    </row>
    <row r="65" spans="1:16" ht="14.95" customHeight="1" x14ac:dyDescent="0.25">
      <c r="A65" s="48" t="s">
        <v>245</v>
      </c>
      <c r="B65" s="107">
        <f>WACC!C55</f>
        <v>0.10624760301216089</v>
      </c>
      <c r="N65" t="s">
        <v>260</v>
      </c>
      <c r="P65" s="84">
        <f>P64*(1+B66)/(B65-B66)</f>
        <v>48732.796399668354</v>
      </c>
    </row>
    <row r="66" spans="1:16" ht="14.95" customHeight="1" x14ac:dyDescent="0.25">
      <c r="A66" s="49" t="s">
        <v>250</v>
      </c>
      <c r="B66" s="108">
        <v>3.5000000000000003E-2</v>
      </c>
      <c r="C66" t="s">
        <v>262</v>
      </c>
    </row>
    <row r="68" spans="1:16" ht="14.95" customHeight="1" x14ac:dyDescent="0.2">
      <c r="A68" s="51" t="s">
        <v>251</v>
      </c>
      <c r="B68" s="52">
        <f>NPV(B65,G64,H64,I64,J64,K64,L64,M64,N64,O64,P64+P65)</f>
        <v>27163.633598642911</v>
      </c>
    </row>
    <row r="69" spans="1:16" ht="14.95" customHeight="1" x14ac:dyDescent="0.2">
      <c r="A69" s="53" t="s">
        <v>252</v>
      </c>
      <c r="B69" s="59">
        <v>566.29999999999995</v>
      </c>
    </row>
    <row r="70" spans="1:16" ht="14.95" customHeight="1" x14ac:dyDescent="0.2">
      <c r="A70" s="53" t="s">
        <v>253</v>
      </c>
      <c r="B70" s="59">
        <v>2877.9</v>
      </c>
    </row>
    <row r="71" spans="1:16" ht="14.95" customHeight="1" x14ac:dyDescent="0.2">
      <c r="A71" s="49" t="str">
        <f>A55</f>
        <v>Equity value</v>
      </c>
      <c r="B71" s="55">
        <f>B68+B69-B70</f>
        <v>24852.033598642909</v>
      </c>
    </row>
    <row r="73" spans="1:16" ht="14.95" customHeight="1" x14ac:dyDescent="0.2">
      <c r="A73" s="51" t="s">
        <v>256</v>
      </c>
      <c r="B73" s="56">
        <v>385.4</v>
      </c>
    </row>
    <row r="74" spans="1:16" ht="14.95" customHeight="1" x14ac:dyDescent="0.2">
      <c r="A74" s="49" t="s">
        <v>255</v>
      </c>
      <c r="B74" s="57">
        <f>B71/B73</f>
        <v>64.483740525798936</v>
      </c>
    </row>
    <row r="75" spans="1:16" ht="14.95" customHeight="1" x14ac:dyDescent="0.2">
      <c r="B75" s="47"/>
    </row>
    <row r="76" spans="1:16" ht="14.95" customHeight="1" x14ac:dyDescent="0.2">
      <c r="A76" s="51" t="s">
        <v>279</v>
      </c>
      <c r="B76" s="94">
        <f ca="1">$J$3</f>
        <v>86.35</v>
      </c>
    </row>
    <row r="77" spans="1:16" ht="14.95" customHeight="1" x14ac:dyDescent="0.2">
      <c r="A77" s="49" t="str">
        <f ca="1">IF(B74&gt;B76,"Undervalued by","Overvalued by")</f>
        <v>Overvalued by</v>
      </c>
      <c r="B77" s="50">
        <f ca="1">IF((B74-B76)/B74&lt;0,(B74-B76)/B74*-1,(B74-B76)/B74)</f>
        <v>0.3390972560819841</v>
      </c>
    </row>
    <row r="78" spans="1:16" ht="14.95" customHeight="1" x14ac:dyDescent="0.25">
      <c r="A78" s="1" t="s">
        <v>281</v>
      </c>
      <c r="B78" s="110" t="str">
        <f ca="1">IF(B76&gt;B74,"SELL","BUY")</f>
        <v>SELL</v>
      </c>
    </row>
    <row r="80" spans="1:16" ht="14.95" customHeight="1" x14ac:dyDescent="0.25">
      <c r="A80" s="36" t="s">
        <v>263</v>
      </c>
      <c r="G80" s="81">
        <f>G48</f>
        <v>591.52097271218963</v>
      </c>
      <c r="H80" s="82">
        <f t="shared" ref="H80:P80" si="31">H48</f>
        <v>872.2204275531426</v>
      </c>
      <c r="I80" s="82">
        <f t="shared" si="31"/>
        <v>1140.0300401016611</v>
      </c>
      <c r="J80" s="82">
        <f t="shared" si="31"/>
        <v>1215.4913044545849</v>
      </c>
      <c r="K80" s="82">
        <f t="shared" si="31"/>
        <v>1544.16356859435</v>
      </c>
      <c r="L80" s="82">
        <f t="shared" si="31"/>
        <v>1841.299178939161</v>
      </c>
      <c r="M80" s="82">
        <f t="shared" si="31"/>
        <v>2156.9572065259104</v>
      </c>
      <c r="N80" s="82">
        <f t="shared" si="31"/>
        <v>2506.6492864603129</v>
      </c>
      <c r="O80" s="82">
        <f t="shared" si="31"/>
        <v>2898.5965022816645</v>
      </c>
      <c r="P80" s="83">
        <f t="shared" si="31"/>
        <v>3354.6810932908547</v>
      </c>
    </row>
    <row r="81" spans="1:16" ht="14.95" customHeight="1" x14ac:dyDescent="0.25">
      <c r="A81" s="48" t="s">
        <v>249</v>
      </c>
      <c r="B81" s="107">
        <f>WACC!C83</f>
        <v>5.0242499084058118E-2</v>
      </c>
      <c r="N81" t="s">
        <v>264</v>
      </c>
      <c r="P81" s="84">
        <f>P80*(1+B82)/(B81-B82)</f>
        <v>96616.341013979443</v>
      </c>
    </row>
    <row r="82" spans="1:16" ht="14.95" customHeight="1" x14ac:dyDescent="0.25">
      <c r="A82" s="49" t="str">
        <f>A66</f>
        <v>Constant Growth rate</v>
      </c>
      <c r="B82" s="108">
        <v>1.4999999999999999E-2</v>
      </c>
      <c r="C82" t="s">
        <v>265</v>
      </c>
    </row>
    <row r="84" spans="1:16" ht="14.95" customHeight="1" x14ac:dyDescent="0.2">
      <c r="A84" s="51" t="s">
        <v>266</v>
      </c>
      <c r="B84" s="52">
        <f>NPV(B81,G80,H80,I80,J80,K80,L80,M80,N80,O80,P80+P81)</f>
        <v>72238.225521190427</v>
      </c>
    </row>
    <row r="85" spans="1:16" ht="14.95" customHeight="1" x14ac:dyDescent="0.2">
      <c r="A85" s="53" t="str">
        <f>A53</f>
        <v>(+) Cash</v>
      </c>
      <c r="B85" s="60">
        <f t="shared" ref="A85:B86" si="32">B53</f>
        <v>566.29999999999995</v>
      </c>
    </row>
    <row r="86" spans="1:16" ht="14.95" customHeight="1" x14ac:dyDescent="0.2">
      <c r="A86" s="53" t="str">
        <f t="shared" si="32"/>
        <v>(-) Debt</v>
      </c>
      <c r="B86" s="60">
        <f t="shared" si="32"/>
        <v>2877.9</v>
      </c>
    </row>
    <row r="87" spans="1:16" ht="14.95" customHeight="1" x14ac:dyDescent="0.2">
      <c r="A87" s="49" t="s">
        <v>267</v>
      </c>
      <c r="B87" s="55">
        <f>B84+B85-B86</f>
        <v>69926.625521190435</v>
      </c>
    </row>
    <row r="89" spans="1:16" ht="14.95" customHeight="1" x14ac:dyDescent="0.2">
      <c r="A89" s="51" t="s">
        <v>256</v>
      </c>
      <c r="B89" s="56">
        <v>385.4</v>
      </c>
    </row>
    <row r="90" spans="1:16" ht="14.95" customHeight="1" x14ac:dyDescent="0.2">
      <c r="A90" s="49" t="s">
        <v>255</v>
      </c>
      <c r="B90" s="57">
        <f>B87/B89</f>
        <v>181.43909061025022</v>
      </c>
    </row>
    <row r="92" spans="1:16" ht="14.95" customHeight="1" x14ac:dyDescent="0.2">
      <c r="A92" s="51" t="s">
        <v>279</v>
      </c>
      <c r="B92" s="94">
        <f ca="1">$J$3</f>
        <v>86.35</v>
      </c>
    </row>
    <row r="93" spans="1:16" ht="14.95" customHeight="1" x14ac:dyDescent="0.2">
      <c r="A93" s="49" t="str">
        <f ca="1">IF(B90&gt;B92,"Undervalued by","Overvalued by")</f>
        <v>Undervalued by</v>
      </c>
      <c r="B93" s="50">
        <f ca="1">IF((B90-B92)/B90&lt;0,(B90-B92)/B90*-1,(B90-B92)/B90)</f>
        <v>0.52408271167160636</v>
      </c>
    </row>
    <row r="94" spans="1:16" ht="14.95" customHeight="1" x14ac:dyDescent="0.25">
      <c r="A94" s="1" t="s">
        <v>281</v>
      </c>
      <c r="B94" s="110" t="str">
        <f ca="1">IF(B92&gt;B90,"SELL","BUY")</f>
        <v>BUY</v>
      </c>
    </row>
    <row r="98" spans="1:10" ht="14.95" customHeight="1" x14ac:dyDescent="0.25">
      <c r="A98" s="114"/>
      <c r="B98" s="114"/>
      <c r="C98" s="114"/>
      <c r="D98" s="114"/>
      <c r="E98" s="114"/>
      <c r="F98" s="117" t="s">
        <v>282</v>
      </c>
      <c r="G98" s="114"/>
      <c r="H98" s="114"/>
      <c r="I98" s="114"/>
      <c r="J98" s="114"/>
    </row>
    <row r="99" spans="1:10" ht="14.95" customHeight="1" x14ac:dyDescent="0.2">
      <c r="A99" s="114"/>
      <c r="B99" s="114"/>
      <c r="C99" s="118"/>
      <c r="D99" s="120">
        <f>0.015</f>
        <v>1.4999999999999999E-2</v>
      </c>
      <c r="E99" s="116">
        <f t="shared" ref="E99:J99" si="33">D99+0.005</f>
        <v>0.02</v>
      </c>
      <c r="F99" s="120">
        <f t="shared" si="33"/>
        <v>2.5000000000000001E-2</v>
      </c>
      <c r="G99" s="116">
        <f t="shared" si="33"/>
        <v>3.0000000000000002E-2</v>
      </c>
      <c r="H99" s="120">
        <f t="shared" si="33"/>
        <v>3.5000000000000003E-2</v>
      </c>
      <c r="I99" s="116">
        <f t="shared" si="33"/>
        <v>0.04</v>
      </c>
      <c r="J99" s="116">
        <f t="shared" si="33"/>
        <v>4.4999999999999998E-2</v>
      </c>
    </row>
    <row r="100" spans="1:10" ht="14.95" customHeight="1" x14ac:dyDescent="0.2">
      <c r="A100" s="114"/>
      <c r="B100" s="114"/>
      <c r="C100" s="115">
        <f>0.05</f>
        <v>0.05</v>
      </c>
      <c r="D100" s="112">
        <f t="shared" ref="D100:J109" si="34">(NPV($C100,$G$48,$H$48,$I$48,$J$48,$K$48,$L$48,$M$48,$N$48,$O$48,($P$48*(1+D$99)/($C100-D$99)+$P$48))+($B$53-$B$54))/$B$57</f>
        <v>182.91135088011404</v>
      </c>
      <c r="E100" s="112">
        <f t="shared" si="34"/>
        <v>209.6301259783738</v>
      </c>
      <c r="F100" s="112">
        <f t="shared" si="34"/>
        <v>247.03641111593737</v>
      </c>
      <c r="G100" s="112">
        <f t="shared" si="34"/>
        <v>303.14583882228277</v>
      </c>
      <c r="H100" s="112">
        <f t="shared" si="34"/>
        <v>396.66155166619188</v>
      </c>
      <c r="I100" s="112">
        <f t="shared" si="34"/>
        <v>583.69297735400983</v>
      </c>
      <c r="J100" s="112">
        <f t="shared" si="34"/>
        <v>1144.7872544174631</v>
      </c>
    </row>
    <row r="101" spans="1:10" ht="14.95" customHeight="1" x14ac:dyDescent="0.2">
      <c r="A101" s="114"/>
      <c r="B101" s="114"/>
      <c r="C101" s="119">
        <v>5.0200000000000002E-2</v>
      </c>
      <c r="D101" s="112">
        <f t="shared" si="34"/>
        <v>181.69562316632968</v>
      </c>
      <c r="E101" s="112">
        <f t="shared" si="34"/>
        <v>208.04144818668527</v>
      </c>
      <c r="F101" s="112">
        <f t="shared" si="34"/>
        <v>244.84196567543583</v>
      </c>
      <c r="G101" s="112">
        <f t="shared" si="34"/>
        <v>299.86056112891441</v>
      </c>
      <c r="H101" s="112">
        <f t="shared" si="34"/>
        <v>391.07560095968159</v>
      </c>
      <c r="I101" s="112">
        <f t="shared" si="34"/>
        <v>571.71715042845574</v>
      </c>
      <c r="J101" s="112">
        <f t="shared" si="34"/>
        <v>1099.7462950294869</v>
      </c>
    </row>
    <row r="102" spans="1:10" ht="14.95" customHeight="1" x14ac:dyDescent="0.2">
      <c r="A102" s="114"/>
      <c r="B102" s="114"/>
      <c r="C102" s="115">
        <f>C100+0.005</f>
        <v>5.5E-2</v>
      </c>
      <c r="D102" s="112">
        <f t="shared" si="34"/>
        <v>156.21883486533858</v>
      </c>
      <c r="E102" s="112">
        <f t="shared" si="34"/>
        <v>175.41919446884242</v>
      </c>
      <c r="F102" s="112">
        <f t="shared" si="34"/>
        <v>201.01967394018092</v>
      </c>
      <c r="G102" s="112">
        <f t="shared" si="34"/>
        <v>236.86034520005484</v>
      </c>
      <c r="H102" s="112">
        <f t="shared" si="34"/>
        <v>290.6213520898657</v>
      </c>
      <c r="I102" s="112">
        <f t="shared" si="34"/>
        <v>380.22303023955038</v>
      </c>
      <c r="J102" s="112">
        <f t="shared" si="34"/>
        <v>559.4263865389197</v>
      </c>
    </row>
    <row r="103" spans="1:10" ht="14.95" customHeight="1" x14ac:dyDescent="0.2">
      <c r="A103" s="114"/>
      <c r="B103" s="114"/>
      <c r="C103" s="115">
        <f t="shared" ref="C103:C108" si="35">C102+0.005</f>
        <v>0.06</v>
      </c>
      <c r="D103" s="112">
        <f t="shared" si="34"/>
        <v>135.55427979658106</v>
      </c>
      <c r="E103" s="112">
        <f t="shared" si="34"/>
        <v>149.86574973223293</v>
      </c>
      <c r="F103" s="112">
        <f t="shared" si="34"/>
        <v>168.26621107807102</v>
      </c>
      <c r="G103" s="112">
        <f t="shared" si="34"/>
        <v>192.80015953918848</v>
      </c>
      <c r="H103" s="112">
        <f t="shared" si="34"/>
        <v>227.14768738475291</v>
      </c>
      <c r="I103" s="112">
        <f t="shared" si="34"/>
        <v>278.66897915309966</v>
      </c>
      <c r="J103" s="112">
        <f t="shared" si="34"/>
        <v>364.53779876701083</v>
      </c>
    </row>
    <row r="104" spans="1:10" ht="14.95" customHeight="1" x14ac:dyDescent="0.2">
      <c r="A104" s="114"/>
      <c r="B104" s="114"/>
      <c r="C104" s="115">
        <f t="shared" si="35"/>
        <v>6.5000000000000002E-2</v>
      </c>
      <c r="D104" s="112">
        <f t="shared" si="34"/>
        <v>119.10561724372228</v>
      </c>
      <c r="E104" s="112">
        <f t="shared" si="34"/>
        <v>130.08001121602638</v>
      </c>
      <c r="F104" s="112">
        <f t="shared" si="34"/>
        <v>143.79800368140653</v>
      </c>
      <c r="G104" s="112">
        <f t="shared" si="34"/>
        <v>161.43542256546672</v>
      </c>
      <c r="H104" s="112">
        <f t="shared" si="34"/>
        <v>184.951981077547</v>
      </c>
      <c r="I104" s="112">
        <f t="shared" si="34"/>
        <v>217.87516299445932</v>
      </c>
      <c r="J104" s="112">
        <f t="shared" si="34"/>
        <v>267.25993586982781</v>
      </c>
    </row>
    <row r="105" spans="1:10" ht="14.95" customHeight="1" x14ac:dyDescent="0.2">
      <c r="A105" s="114"/>
      <c r="B105" s="114"/>
      <c r="C105" s="115">
        <f t="shared" si="35"/>
        <v>7.0000000000000007E-2</v>
      </c>
      <c r="D105" s="112">
        <f t="shared" si="34"/>
        <v>105.71987495905431</v>
      </c>
      <c r="E105" s="112">
        <f t="shared" si="34"/>
        <v>114.32828295193053</v>
      </c>
      <c r="F105" s="112">
        <f t="shared" si="34"/>
        <v>124.84967049877925</v>
      </c>
      <c r="G105" s="112">
        <f t="shared" si="34"/>
        <v>138.00140493234017</v>
      </c>
      <c r="H105" s="112">
        <f t="shared" si="34"/>
        <v>154.91077777548992</v>
      </c>
      <c r="I105" s="112">
        <f t="shared" si="34"/>
        <v>177.45660823302288</v>
      </c>
      <c r="J105" s="112">
        <f t="shared" si="34"/>
        <v>209.02077087356903</v>
      </c>
    </row>
    <row r="106" spans="1:10" ht="14.95" customHeight="1" x14ac:dyDescent="0.2">
      <c r="A106" s="114"/>
      <c r="B106" s="114"/>
      <c r="C106" s="115">
        <f t="shared" si="35"/>
        <v>7.5000000000000011E-2</v>
      </c>
      <c r="D106" s="112">
        <f t="shared" si="34"/>
        <v>94.628545453383794</v>
      </c>
      <c r="E106" s="112">
        <f t="shared" si="34"/>
        <v>101.50745211938754</v>
      </c>
      <c r="F106" s="112">
        <f t="shared" si="34"/>
        <v>109.762140118592</v>
      </c>
      <c r="G106" s="112">
        <f t="shared" si="34"/>
        <v>119.85120322873082</v>
      </c>
      <c r="H106" s="112">
        <f t="shared" si="34"/>
        <v>132.4625321164043</v>
      </c>
      <c r="I106" s="112">
        <f t="shared" si="34"/>
        <v>148.67709782912743</v>
      </c>
      <c r="J106" s="112">
        <f t="shared" si="34"/>
        <v>170.29651877942479</v>
      </c>
    </row>
    <row r="107" spans="1:10" ht="14.95" customHeight="1" x14ac:dyDescent="0.2">
      <c r="A107" s="114"/>
      <c r="B107" s="114"/>
      <c r="C107" s="115">
        <f t="shared" si="35"/>
        <v>8.0000000000000016E-2</v>
      </c>
      <c r="D107" s="112">
        <f t="shared" si="34"/>
        <v>85.299707973241894</v>
      </c>
      <c r="E107" s="112">
        <f t="shared" si="34"/>
        <v>90.882238783635984</v>
      </c>
      <c r="F107" s="112">
        <f t="shared" si="34"/>
        <v>97.479775195919856</v>
      </c>
      <c r="G107" s="112">
        <f t="shared" si="34"/>
        <v>105.39681889066055</v>
      </c>
      <c r="H107" s="112">
        <f t="shared" si="34"/>
        <v>115.07320562867693</v>
      </c>
      <c r="I107" s="112">
        <f t="shared" si="34"/>
        <v>127.16868905119743</v>
      </c>
      <c r="J107" s="112">
        <f t="shared" si="34"/>
        <v>142.72002488015235</v>
      </c>
    </row>
    <row r="108" spans="1:10" ht="13.1" customHeight="1" x14ac:dyDescent="0.2">
      <c r="A108" s="136" t="s">
        <v>240</v>
      </c>
      <c r="B108" s="136"/>
      <c r="C108" s="115">
        <f t="shared" si="35"/>
        <v>8.500000000000002E-2</v>
      </c>
      <c r="D108" s="112">
        <f t="shared" si="34"/>
        <v>77.353527152809818</v>
      </c>
      <c r="E108" s="112">
        <f t="shared" si="34"/>
        <v>81.943715379780812</v>
      </c>
      <c r="F108" s="112">
        <f t="shared" si="34"/>
        <v>87.298934977913547</v>
      </c>
      <c r="G108" s="112">
        <f t="shared" si="34"/>
        <v>93.627830866615923</v>
      </c>
      <c r="H108" s="112">
        <f t="shared" si="34"/>
        <v>101.22250593305876</v>
      </c>
      <c r="I108" s="112">
        <f t="shared" si="34"/>
        <v>110.50488656982223</v>
      </c>
      <c r="J108" s="112">
        <f t="shared" si="34"/>
        <v>122.10786236577655</v>
      </c>
    </row>
    <row r="109" spans="1:10" ht="13.1" customHeight="1" x14ac:dyDescent="0.2">
      <c r="A109" s="136"/>
      <c r="B109" s="136"/>
      <c r="C109" s="119">
        <f>B49</f>
        <v>8.7205867676605958E-2</v>
      </c>
      <c r="D109" s="112">
        <f t="shared" si="34"/>
        <v>74.212612193455897</v>
      </c>
      <c r="E109" s="112">
        <f t="shared" si="34"/>
        <v>78.438556436978232</v>
      </c>
      <c r="F109" s="112">
        <f t="shared" si="34"/>
        <v>83.343848851559272</v>
      </c>
      <c r="G109" s="112">
        <f t="shared" si="34"/>
        <v>89.106621908215629</v>
      </c>
      <c r="H109" s="112">
        <f t="shared" si="34"/>
        <v>95.973250395904046</v>
      </c>
      <c r="I109" s="112">
        <f t="shared" si="34"/>
        <v>104.29449222419025</v>
      </c>
      <c r="J109" s="112">
        <f t="shared" si="34"/>
        <v>114.58731816775773</v>
      </c>
    </row>
    <row r="110" spans="1:10" ht="14.95" customHeight="1" x14ac:dyDescent="0.2">
      <c r="A110" s="114"/>
      <c r="B110" s="114"/>
      <c r="C110" s="115">
        <f>C108+0.005</f>
        <v>9.0000000000000024E-2</v>
      </c>
      <c r="D110" s="112">
        <f t="shared" ref="D110:J123" si="36">(NPV($C110,$G$48,$H$48,$I$48,$J$48,$K$48,$L$48,$M$48,$N$48,$O$48,($P$48*(1+D$99)/($C110-D$99)+$P$48))+($B$53-$B$54))/$B$57</f>
        <v>70.51155253655314</v>
      </c>
      <c r="E110" s="112">
        <f t="shared" si="36"/>
        <v>74.328461046621186</v>
      </c>
      <c r="F110" s="112">
        <f t="shared" si="36"/>
        <v>78.732586250545808</v>
      </c>
      <c r="G110" s="112">
        <f t="shared" si="36"/>
        <v>83.870732321791195</v>
      </c>
      <c r="H110" s="112">
        <f t="shared" si="36"/>
        <v>89.943086769626674</v>
      </c>
      <c r="I110" s="112">
        <f t="shared" si="36"/>
        <v>97.22991210702925</v>
      </c>
      <c r="J110" s="112">
        <f t="shared" si="36"/>
        <v>106.13603196385462</v>
      </c>
    </row>
    <row r="111" spans="1:10" ht="14.95" customHeight="1" x14ac:dyDescent="0.2">
      <c r="A111" s="114"/>
      <c r="B111" s="114"/>
      <c r="C111" s="115">
        <f>C110+0.005</f>
        <v>9.5000000000000029E-2</v>
      </c>
      <c r="D111" s="112">
        <f t="shared" si="36"/>
        <v>64.565031072003904</v>
      </c>
      <c r="E111" s="112">
        <f t="shared" si="36"/>
        <v>67.770054526805723</v>
      </c>
      <c r="F111" s="112">
        <f t="shared" si="36"/>
        <v>71.43293847515065</v>
      </c>
      <c r="G111" s="112">
        <f t="shared" si="36"/>
        <v>75.659343030933286</v>
      </c>
      <c r="H111" s="112">
        <f t="shared" si="36"/>
        <v>80.590148346012995</v>
      </c>
      <c r="I111" s="112">
        <f t="shared" si="36"/>
        <v>86.417463718379992</v>
      </c>
      <c r="J111" s="112">
        <f t="shared" si="36"/>
        <v>93.410242165220282</v>
      </c>
    </row>
    <row r="112" spans="1:10" ht="14.95" customHeight="1" x14ac:dyDescent="0.2">
      <c r="A112" s="114"/>
      <c r="B112" s="114"/>
      <c r="C112" s="115">
        <f>C111+0.005</f>
        <v>0.10000000000000003</v>
      </c>
      <c r="D112" s="112">
        <f t="shared" si="36"/>
        <v>59.354403685404691</v>
      </c>
      <c r="E112" s="112">
        <f t="shared" si="36"/>
        <v>62.068757492877175</v>
      </c>
      <c r="F112" s="112">
        <f t="shared" si="36"/>
        <v>65.145025141345968</v>
      </c>
      <c r="G112" s="112">
        <f t="shared" si="36"/>
        <v>68.660759596738885</v>
      </c>
      <c r="H112" s="112">
        <f t="shared" si="36"/>
        <v>72.717376276038436</v>
      </c>
      <c r="I112" s="112">
        <f t="shared" si="36"/>
        <v>77.450095735221197</v>
      </c>
      <c r="J112" s="112">
        <f t="shared" si="36"/>
        <v>83.043309641528083</v>
      </c>
    </row>
    <row r="113" spans="1:11" ht="14.95" customHeight="1" x14ac:dyDescent="0.2">
      <c r="A113" s="114"/>
      <c r="B113" s="114"/>
      <c r="C113" s="115">
        <f>C112+0.005</f>
        <v>0.10500000000000004</v>
      </c>
      <c r="D113" s="112">
        <f t="shared" si="36"/>
        <v>54.755636559492196</v>
      </c>
      <c r="E113" s="112">
        <f t="shared" si="36"/>
        <v>57.071898108338061</v>
      </c>
      <c r="F113" s="112">
        <f t="shared" si="36"/>
        <v>59.677692350789684</v>
      </c>
      <c r="G113" s="112">
        <f t="shared" si="36"/>
        <v>62.630925825568177</v>
      </c>
      <c r="H113" s="112">
        <f t="shared" si="36"/>
        <v>66.006049796743582</v>
      </c>
      <c r="I113" s="112">
        <f t="shared" si="36"/>
        <v>69.900423609638295</v>
      </c>
      <c r="J113" s="112">
        <f t="shared" si="36"/>
        <v>74.443859724682127</v>
      </c>
    </row>
    <row r="114" spans="1:11" ht="14.95" customHeight="1" x14ac:dyDescent="0.2">
      <c r="A114" s="114"/>
      <c r="B114" s="114"/>
      <c r="C114" s="119">
        <f>B65</f>
        <v>0.10624760301216089</v>
      </c>
      <c r="D114" s="112">
        <f t="shared" si="36"/>
        <v>53.691621674459689</v>
      </c>
      <c r="E114" s="112">
        <f t="shared" si="36"/>
        <v>55.920415787937443</v>
      </c>
      <c r="F114" s="112">
        <f t="shared" si="36"/>
        <v>58.423531115930771</v>
      </c>
      <c r="G114" s="112">
        <f t="shared" si="36"/>
        <v>61.254934184011383</v>
      </c>
      <c r="H114" s="112">
        <f t="shared" si="36"/>
        <v>64.48374052579895</v>
      </c>
      <c r="I114" s="112">
        <f t="shared" si="36"/>
        <v>68.19993149661147</v>
      </c>
      <c r="J114" s="112">
        <f t="shared" si="36"/>
        <v>72.52287126869129</v>
      </c>
    </row>
    <row r="115" spans="1:11" ht="14.95" customHeight="1" x14ac:dyDescent="0.2">
      <c r="A115" s="114"/>
      <c r="B115" s="114"/>
      <c r="C115" s="115">
        <f>C113+0.005</f>
        <v>0.11000000000000004</v>
      </c>
      <c r="D115" s="112">
        <f t="shared" si="36"/>
        <v>50.670869051855618</v>
      </c>
      <c r="E115" s="112">
        <f t="shared" si="36"/>
        <v>52.660793607565438</v>
      </c>
      <c r="F115" s="112">
        <f t="shared" si="36"/>
        <v>54.884826934535248</v>
      </c>
      <c r="G115" s="112">
        <f t="shared" si="36"/>
        <v>57.386864427376274</v>
      </c>
      <c r="H115" s="112">
        <f t="shared" si="36"/>
        <v>60.222506919262777</v>
      </c>
      <c r="I115" s="112">
        <f t="shared" si="36"/>
        <v>63.463241195704505</v>
      </c>
      <c r="J115" s="112">
        <f t="shared" si="36"/>
        <v>67.202549976214158</v>
      </c>
    </row>
    <row r="116" spans="1:11" ht="14.95" customHeight="1" x14ac:dyDescent="0.2">
      <c r="A116" s="114"/>
      <c r="B116" s="114"/>
      <c r="C116" s="115">
        <f t="shared" ref="C116:C123" si="37">C115+0.005</f>
        <v>0.11500000000000005</v>
      </c>
      <c r="D116" s="112">
        <f t="shared" si="36"/>
        <v>47.021867417788584</v>
      </c>
      <c r="E116" s="112">
        <f t="shared" si="36"/>
        <v>48.741802770292992</v>
      </c>
      <c r="F116" s="112">
        <f t="shared" si="36"/>
        <v>50.652842050853444</v>
      </c>
      <c r="G116" s="112">
        <f t="shared" si="36"/>
        <v>52.788709482068064</v>
      </c>
      <c r="H116" s="112">
        <f t="shared" si="36"/>
        <v>55.191560342184516</v>
      </c>
      <c r="I116" s="112">
        <f t="shared" si="36"/>
        <v>57.914791316983184</v>
      </c>
      <c r="J116" s="112">
        <f t="shared" si="36"/>
        <v>61.027055288181629</v>
      </c>
    </row>
    <row r="117" spans="1:11" ht="14.95" customHeight="1" x14ac:dyDescent="0.2">
      <c r="A117" s="114"/>
      <c r="B117" s="114"/>
      <c r="C117" s="115">
        <f t="shared" si="37"/>
        <v>0.12000000000000005</v>
      </c>
      <c r="D117" s="112">
        <f t="shared" si="36"/>
        <v>43.745349058901873</v>
      </c>
      <c r="E117" s="112">
        <f t="shared" si="36"/>
        <v>45.240062816848912</v>
      </c>
      <c r="F117" s="112">
        <f t="shared" si="36"/>
        <v>46.89211486510613</v>
      </c>
      <c r="G117" s="112">
        <f t="shared" si="36"/>
        <v>48.72772825205864</v>
      </c>
      <c r="H117" s="112">
        <f t="shared" si="36"/>
        <v>50.779296155123184</v>
      </c>
      <c r="I117" s="112">
        <f t="shared" si="36"/>
        <v>53.087310046070783</v>
      </c>
      <c r="J117" s="112">
        <f t="shared" si="36"/>
        <v>55.703059122478102</v>
      </c>
    </row>
    <row r="118" spans="1:11" ht="14.95" customHeight="1" x14ac:dyDescent="0.2">
      <c r="A118" s="114"/>
      <c r="B118" s="114"/>
      <c r="C118" s="115">
        <f t="shared" si="37"/>
        <v>0.12500000000000006</v>
      </c>
      <c r="D118" s="112">
        <f t="shared" si="36"/>
        <v>40.789582120794826</v>
      </c>
      <c r="E118" s="112">
        <f t="shared" si="36"/>
        <v>42.09501590770811</v>
      </c>
      <c r="F118" s="112">
        <f t="shared" si="36"/>
        <v>43.530993073312708</v>
      </c>
      <c r="G118" s="112">
        <f t="shared" si="36"/>
        <v>45.118125730033597</v>
      </c>
      <c r="H118" s="112">
        <f t="shared" si="36"/>
        <v>46.881606459723464</v>
      </c>
      <c r="I118" s="112">
        <f t="shared" si="36"/>
        <v>48.85255551055333</v>
      </c>
      <c r="J118" s="112">
        <f t="shared" si="36"/>
        <v>51.0698731927369</v>
      </c>
    </row>
    <row r="119" spans="1:11" ht="14.95" customHeight="1" x14ac:dyDescent="0.2">
      <c r="A119" s="114"/>
      <c r="B119" s="114"/>
      <c r="C119" s="115">
        <f t="shared" si="37"/>
        <v>0.13000000000000006</v>
      </c>
      <c r="D119" s="112">
        <f t="shared" si="36"/>
        <v>38.111872281655018</v>
      </c>
      <c r="E119" s="112">
        <f t="shared" si="36"/>
        <v>39.257155819308643</v>
      </c>
      <c r="F119" s="112">
        <f t="shared" si="36"/>
        <v>40.511513979595939</v>
      </c>
      <c r="G119" s="112">
        <f t="shared" si="36"/>
        <v>41.891307955911991</v>
      </c>
      <c r="H119" s="112">
        <f t="shared" si="36"/>
        <v>43.416343403419177</v>
      </c>
      <c r="I119" s="112">
        <f t="shared" si="36"/>
        <v>45.110827233982725</v>
      </c>
      <c r="J119" s="112">
        <f t="shared" si="36"/>
        <v>47.004662103436118</v>
      </c>
    </row>
    <row r="120" spans="1:11" ht="14.95" customHeight="1" x14ac:dyDescent="0.2">
      <c r="A120" s="114"/>
      <c r="B120" s="114"/>
      <c r="C120" s="115">
        <f t="shared" si="37"/>
        <v>0.13500000000000006</v>
      </c>
      <c r="D120" s="112">
        <f t="shared" si="36"/>
        <v>35.676677960232666</v>
      </c>
      <c r="E120" s="112">
        <f t="shared" si="36"/>
        <v>36.685623430549484</v>
      </c>
      <c r="F120" s="112">
        <f t="shared" si="36"/>
        <v>37.786291216349625</v>
      </c>
      <c r="G120" s="112">
        <f t="shared" si="36"/>
        <v>38.991784505559323</v>
      </c>
      <c r="H120" s="112">
        <f t="shared" si="36"/>
        <v>40.317827123689995</v>
      </c>
      <c r="I120" s="112">
        <f t="shared" si="36"/>
        <v>41.783453175308097</v>
      </c>
      <c r="J120" s="112">
        <f t="shared" si="36"/>
        <v>43.411926565994861</v>
      </c>
    </row>
    <row r="121" spans="1:11" ht="14.95" customHeight="1" x14ac:dyDescent="0.2">
      <c r="A121" s="114"/>
      <c r="B121" s="114"/>
      <c r="C121" s="115">
        <f t="shared" si="37"/>
        <v>0.14000000000000007</v>
      </c>
      <c r="D121" s="112">
        <f t="shared" si="36"/>
        <v>33.45417797900074</v>
      </c>
      <c r="E121" s="112">
        <f t="shared" si="36"/>
        <v>34.346403443384787</v>
      </c>
      <c r="F121" s="112">
        <f t="shared" si="36"/>
        <v>35.316213730758747</v>
      </c>
      <c r="G121" s="112">
        <f t="shared" si="36"/>
        <v>36.374188589712176</v>
      </c>
      <c r="H121" s="112">
        <f t="shared" si="36"/>
        <v>37.532922959042111</v>
      </c>
      <c r="I121" s="112">
        <f t="shared" si="36"/>
        <v>38.807530765305039</v>
      </c>
      <c r="J121" s="112">
        <f t="shared" si="36"/>
        <v>40.216307814332481</v>
      </c>
    </row>
    <row r="122" spans="1:11" ht="14.95" customHeight="1" x14ac:dyDescent="0.2">
      <c r="A122" s="114"/>
      <c r="B122" s="114"/>
      <c r="C122" s="115">
        <f t="shared" si="37"/>
        <v>0.14500000000000007</v>
      </c>
      <c r="D122" s="112">
        <f t="shared" si="36"/>
        <v>31.419169861565809</v>
      </c>
      <c r="E122" s="112">
        <f t="shared" si="36"/>
        <v>32.210953985865373</v>
      </c>
      <c r="F122" s="112">
        <f t="shared" si="36"/>
        <v>33.068720120523224</v>
      </c>
      <c r="G122" s="112">
        <f t="shared" si="36"/>
        <v>34.001074614716551</v>
      </c>
      <c r="H122" s="112">
        <f t="shared" si="36"/>
        <v>35.018188608381998</v>
      </c>
      <c r="I122" s="112">
        <f t="shared" si="36"/>
        <v>36.132170601444152</v>
      </c>
      <c r="J122" s="112">
        <f t="shared" si="36"/>
        <v>37.357550793812536</v>
      </c>
    </row>
    <row r="123" spans="1:11" ht="14.95" customHeight="1" x14ac:dyDescent="0.2">
      <c r="A123" s="114"/>
      <c r="B123" s="114"/>
      <c r="C123" s="115">
        <f t="shared" si="37"/>
        <v>0.15000000000000008</v>
      </c>
      <c r="D123" s="112">
        <f t="shared" si="36"/>
        <v>29.550213038861116</v>
      </c>
      <c r="E123" s="112">
        <f t="shared" si="36"/>
        <v>30.255152546860593</v>
      </c>
      <c r="F123" s="112">
        <f t="shared" si="36"/>
        <v>31.016487215500035</v>
      </c>
      <c r="G123" s="112">
        <f t="shared" si="36"/>
        <v>31.841266439859428</v>
      </c>
      <c r="H123" s="112">
        <f t="shared" si="36"/>
        <v>32.737765596771808</v>
      </c>
      <c r="I123" s="112">
        <f t="shared" si="36"/>
        <v>33.715764677039857</v>
      </c>
      <c r="J123" s="112">
        <f t="shared" si="36"/>
        <v>34.786906526857244</v>
      </c>
    </row>
    <row r="125" spans="1:11" ht="14.95" customHeight="1" x14ac:dyDescent="0.3">
      <c r="A125" s="129" t="s">
        <v>292</v>
      </c>
      <c r="B125" s="122" t="s">
        <v>286</v>
      </c>
      <c r="C125" s="122" t="s">
        <v>284</v>
      </c>
      <c r="H125" s="122" t="s">
        <v>283</v>
      </c>
      <c r="I125" s="122" t="s">
        <v>284</v>
      </c>
      <c r="K125" t="s">
        <v>285</v>
      </c>
    </row>
    <row r="126" spans="1:11" ht="14.95" customHeight="1" x14ac:dyDescent="0.3">
      <c r="A126" s="129"/>
      <c r="B126" s="122"/>
      <c r="C126" s="123">
        <f>B58</f>
        <v>83.343848851559272</v>
      </c>
      <c r="H126" s="122"/>
      <c r="I126" s="123">
        <f>B58</f>
        <v>83.343848851559272</v>
      </c>
    </row>
    <row r="127" spans="1:11" ht="14.95" customHeight="1" x14ac:dyDescent="0.3">
      <c r="A127" s="129"/>
      <c r="B127" s="124">
        <v>0</v>
      </c>
      <c r="C127" s="125">
        <f t="dataTable" ref="C127:C136" dt2D="0" dtr="1" r1="B50" ca="1"/>
        <v>0</v>
      </c>
      <c r="H127" s="124">
        <v>0.05</v>
      </c>
      <c r="I127" s="125">
        <f t="dataTable" ref="I127:I138" dt2D="0" dtr="0" r1="B49"/>
        <v>247.0364111159374</v>
      </c>
    </row>
    <row r="128" spans="1:11" ht="14.95" customHeight="1" x14ac:dyDescent="0.3">
      <c r="A128" s="129"/>
      <c r="B128" s="124">
        <v>5.0000000000000001E-3</v>
      </c>
      <c r="C128" s="125">
        <v>5.0000000000000001E-3</v>
      </c>
      <c r="H128" s="124">
        <v>5.5E-2</v>
      </c>
      <c r="I128" s="125">
        <v>201.01967394018098</v>
      </c>
    </row>
    <row r="129" spans="1:9" ht="14.95" customHeight="1" x14ac:dyDescent="0.3">
      <c r="A129" s="129"/>
      <c r="B129" s="126">
        <v>0.01</v>
      </c>
      <c r="C129" s="125">
        <v>0.01</v>
      </c>
      <c r="H129" s="126">
        <v>0.06</v>
      </c>
      <c r="I129" s="125">
        <v>168.26621107807102</v>
      </c>
    </row>
    <row r="130" spans="1:9" ht="14.95" customHeight="1" x14ac:dyDescent="0.3">
      <c r="A130" s="129"/>
      <c r="B130" s="124">
        <v>1.4999999999999999E-2</v>
      </c>
      <c r="C130" s="125">
        <v>1.4999999999999999E-2</v>
      </c>
      <c r="H130" s="124">
        <v>6.5000000000000002E-2</v>
      </c>
      <c r="I130" s="125">
        <v>143.79800368140653</v>
      </c>
    </row>
    <row r="131" spans="1:9" ht="14.95" customHeight="1" x14ac:dyDescent="0.3">
      <c r="A131" s="129"/>
      <c r="B131" s="124">
        <v>0.02</v>
      </c>
      <c r="C131" s="125">
        <v>0.02</v>
      </c>
      <c r="H131" s="124">
        <v>7.0000000000000007E-2</v>
      </c>
      <c r="I131" s="125">
        <v>124.84967049877925</v>
      </c>
    </row>
    <row r="132" spans="1:9" ht="14.95" customHeight="1" x14ac:dyDescent="0.3">
      <c r="A132" s="129"/>
      <c r="B132" s="124">
        <v>2.5000000000000001E-2</v>
      </c>
      <c r="C132" s="125">
        <v>2.5000000000000001E-2</v>
      </c>
      <c r="H132" s="124">
        <v>7.4999999999999997E-2</v>
      </c>
      <c r="I132" s="125">
        <v>109.76214011859203</v>
      </c>
    </row>
    <row r="133" spans="1:9" ht="14.95" customHeight="1" x14ac:dyDescent="0.3">
      <c r="A133" s="129"/>
      <c r="B133" s="124">
        <v>0.03</v>
      </c>
      <c r="C133" s="125">
        <v>0.03</v>
      </c>
      <c r="H133" s="124">
        <v>0.08</v>
      </c>
      <c r="I133" s="125">
        <v>97.479775195919885</v>
      </c>
    </row>
    <row r="134" spans="1:9" ht="14.95" customHeight="1" x14ac:dyDescent="0.3">
      <c r="A134" s="129"/>
      <c r="B134" s="124">
        <v>3.5000000000000003E-2</v>
      </c>
      <c r="C134" s="125">
        <v>3.5000000000000003E-2</v>
      </c>
      <c r="H134" s="124">
        <v>8.5000000000000006E-2</v>
      </c>
      <c r="I134" s="125">
        <v>87.298934977913547</v>
      </c>
    </row>
    <row r="135" spans="1:9" ht="14.95" customHeight="1" x14ac:dyDescent="0.3">
      <c r="A135" s="129"/>
      <c r="B135" s="124">
        <v>0.04</v>
      </c>
      <c r="C135" s="125">
        <v>0.04</v>
      </c>
      <c r="H135" s="124">
        <v>0.09</v>
      </c>
      <c r="I135" s="125">
        <v>78.732586250545808</v>
      </c>
    </row>
    <row r="136" spans="1:9" ht="14.95" customHeight="1" x14ac:dyDescent="0.3">
      <c r="A136" s="129"/>
      <c r="B136" s="124">
        <v>4.4999999999999998E-2</v>
      </c>
      <c r="C136" s="125">
        <v>4.4999999999999998E-2</v>
      </c>
      <c r="H136" s="124">
        <v>9.1700000000000004E-2</v>
      </c>
      <c r="I136" s="125">
        <v>76.122951936848878</v>
      </c>
    </row>
    <row r="137" spans="1:9" ht="14.95" customHeight="1" x14ac:dyDescent="0.3">
      <c r="A137" s="129"/>
      <c r="B137" s="68"/>
      <c r="C137" s="121"/>
      <c r="H137" s="124">
        <v>9.5000000000000001E-2</v>
      </c>
      <c r="I137" s="125">
        <v>71.432938475150664</v>
      </c>
    </row>
    <row r="138" spans="1:9" ht="14.95" customHeight="1" x14ac:dyDescent="0.3">
      <c r="A138" s="129"/>
      <c r="H138" s="127">
        <v>0.1</v>
      </c>
      <c r="I138" s="125">
        <v>65.145025141345982</v>
      </c>
    </row>
    <row r="139" spans="1:9" ht="14.95" customHeight="1" x14ac:dyDescent="0.3">
      <c r="A139" s="129"/>
    </row>
    <row r="140" spans="1:9" ht="14.95" customHeight="1" x14ac:dyDescent="0.3">
      <c r="A140" s="129"/>
    </row>
    <row r="141" spans="1:9" ht="14.95" customHeight="1" x14ac:dyDescent="0.3">
      <c r="A141" s="129"/>
    </row>
    <row r="142" spans="1:9" ht="14.95" customHeight="1" x14ac:dyDescent="0.3">
      <c r="A142" s="129"/>
      <c r="H142" s="130" t="s">
        <v>283</v>
      </c>
      <c r="I142" s="122" t="s">
        <v>284</v>
      </c>
    </row>
    <row r="143" spans="1:9" ht="14.95" customHeight="1" x14ac:dyDescent="0.3">
      <c r="A143" s="129"/>
      <c r="B143" s="131" t="s">
        <v>286</v>
      </c>
      <c r="C143" s="122" t="s">
        <v>284</v>
      </c>
      <c r="H143" s="122"/>
      <c r="I143" s="123">
        <f>B74</f>
        <v>64.483740525798936</v>
      </c>
    </row>
    <row r="144" spans="1:9" ht="14.95" customHeight="1" x14ac:dyDescent="0.3">
      <c r="A144" s="129" t="s">
        <v>288</v>
      </c>
      <c r="B144" s="122"/>
      <c r="C144" s="123">
        <f>B74</f>
        <v>64.483740525798936</v>
      </c>
      <c r="H144" s="124">
        <v>0.05</v>
      </c>
      <c r="I144" s="125">
        <f t="dataTable" ref="I144:I155" dt2D="0" dtr="0" r1="B65" ca="1"/>
        <v>396.66155166619188</v>
      </c>
    </row>
    <row r="145" spans="1:9" ht="14.95" customHeight="1" x14ac:dyDescent="0.3">
      <c r="A145" s="129"/>
      <c r="B145" s="124">
        <v>0</v>
      </c>
      <c r="C145" s="125">
        <f t="dataTable" ref="C145:C154" dt2D="0" dtr="0" r1="B66"/>
        <v>48.263880875270075</v>
      </c>
      <c r="H145" s="124">
        <v>5.5E-2</v>
      </c>
      <c r="I145" s="125">
        <v>290.6213520898657</v>
      </c>
    </row>
    <row r="146" spans="1:9" ht="14.95" customHeight="1" x14ac:dyDescent="0.3">
      <c r="A146" s="129"/>
      <c r="B146" s="124">
        <v>5.0000000000000001E-3</v>
      </c>
      <c r="C146" s="125">
        <v>49.894432522791973</v>
      </c>
      <c r="H146" s="126">
        <v>0.06</v>
      </c>
      <c r="I146" s="125">
        <v>227.14768738475294</v>
      </c>
    </row>
    <row r="147" spans="1:9" ht="14.95" customHeight="1" x14ac:dyDescent="0.3">
      <c r="A147" s="129"/>
      <c r="B147" s="126">
        <v>0.01</v>
      </c>
      <c r="C147" s="125">
        <v>51.694396352694746</v>
      </c>
      <c r="H147" s="124">
        <v>6.5000000000000002E-2</v>
      </c>
      <c r="I147" s="125">
        <v>184.95198107754703</v>
      </c>
    </row>
    <row r="148" spans="1:9" ht="14.95" customHeight="1" x14ac:dyDescent="0.3">
      <c r="A148" s="129"/>
      <c r="B148" s="124">
        <v>1.4999999999999999E-2</v>
      </c>
      <c r="C148" s="125">
        <v>53.691621674459689</v>
      </c>
      <c r="H148" s="124">
        <v>7.0000000000000007E-2</v>
      </c>
      <c r="I148" s="125">
        <v>154.91077777548992</v>
      </c>
    </row>
    <row r="149" spans="1:9" ht="14.95" customHeight="1" x14ac:dyDescent="0.3">
      <c r="A149" s="129"/>
      <c r="B149" s="126">
        <v>0.02</v>
      </c>
      <c r="C149" s="125">
        <v>55.920415787937429</v>
      </c>
      <c r="H149" s="124">
        <v>7.4999999999999997E-2</v>
      </c>
      <c r="I149" s="125">
        <v>132.46253211640436</v>
      </c>
    </row>
    <row r="150" spans="1:9" ht="14.95" customHeight="1" x14ac:dyDescent="0.3">
      <c r="A150" s="129"/>
      <c r="B150" s="124">
        <v>2.5000000000000001E-2</v>
      </c>
      <c r="C150" s="125">
        <v>58.423531115930771</v>
      </c>
      <c r="H150" s="124">
        <v>0.08</v>
      </c>
      <c r="I150" s="125">
        <v>115.07320562867697</v>
      </c>
    </row>
    <row r="151" spans="1:9" ht="14.95" customHeight="1" x14ac:dyDescent="0.3">
      <c r="A151" s="129"/>
      <c r="B151" s="126">
        <v>0.03</v>
      </c>
      <c r="C151" s="125">
        <v>61.254934184011383</v>
      </c>
      <c r="H151" s="124">
        <v>8.5000000000000006E-2</v>
      </c>
      <c r="I151" s="125">
        <v>101.22250593305878</v>
      </c>
    </row>
    <row r="152" spans="1:9" ht="14.95" customHeight="1" x14ac:dyDescent="0.3">
      <c r="A152" s="129"/>
      <c r="B152" s="124">
        <v>3.5000000000000003E-2</v>
      </c>
      <c r="C152" s="125">
        <v>64.483740525798936</v>
      </c>
      <c r="H152" s="124">
        <v>0.09</v>
      </c>
      <c r="I152" s="125">
        <v>89.943086769626703</v>
      </c>
    </row>
    <row r="153" spans="1:9" ht="14.95" customHeight="1" x14ac:dyDescent="0.3">
      <c r="A153" s="129"/>
      <c r="B153" s="126">
        <v>0.04</v>
      </c>
      <c r="C153" s="125">
        <v>68.199931496611455</v>
      </c>
      <c r="H153" s="124">
        <v>9.5000000000000001E-2</v>
      </c>
      <c r="I153" s="125">
        <v>80.590148346013038</v>
      </c>
    </row>
    <row r="154" spans="1:9" ht="14.95" customHeight="1" x14ac:dyDescent="0.3">
      <c r="A154" s="129"/>
      <c r="B154" s="124">
        <v>4.4999999999999998E-2</v>
      </c>
      <c r="C154" s="125">
        <v>72.52287126869129</v>
      </c>
      <c r="H154" s="124">
        <v>0.1</v>
      </c>
      <c r="I154" s="125">
        <v>72.717376276038422</v>
      </c>
    </row>
    <row r="155" spans="1:9" ht="14.95" customHeight="1" x14ac:dyDescent="0.3">
      <c r="A155" s="129"/>
      <c r="H155" s="124">
        <v>0.1062</v>
      </c>
      <c r="I155" s="125">
        <v>64.540806786698411</v>
      </c>
    </row>
    <row r="156" spans="1:9" ht="14.95" customHeight="1" x14ac:dyDescent="0.3">
      <c r="A156" s="129"/>
    </row>
    <row r="157" spans="1:9" ht="14.95" customHeight="1" x14ac:dyDescent="0.3">
      <c r="A157" s="129"/>
    </row>
    <row r="158" spans="1:9" ht="14.95" customHeight="1" x14ac:dyDescent="0.3">
      <c r="A158" s="129"/>
    </row>
    <row r="159" spans="1:9" ht="14.95" customHeight="1" x14ac:dyDescent="0.3">
      <c r="A159" s="129"/>
    </row>
    <row r="160" spans="1:9" ht="14.95" customHeight="1" x14ac:dyDescent="0.3">
      <c r="A160" s="129"/>
      <c r="B160" s="131" t="s">
        <v>286</v>
      </c>
      <c r="C160" s="122" t="s">
        <v>284</v>
      </c>
      <c r="H160" s="130" t="s">
        <v>283</v>
      </c>
      <c r="I160" s="122" t="s">
        <v>284</v>
      </c>
    </row>
    <row r="161" spans="1:9" ht="14.95" customHeight="1" x14ac:dyDescent="0.3">
      <c r="A161" s="129" t="s">
        <v>293</v>
      </c>
      <c r="B161" s="122"/>
      <c r="C161" s="123">
        <f>B90</f>
        <v>181.43909061025022</v>
      </c>
      <c r="H161" s="122"/>
      <c r="I161" s="123">
        <f>B90</f>
        <v>181.43909061025022</v>
      </c>
    </row>
    <row r="162" spans="1:9" ht="14.95" customHeight="1" x14ac:dyDescent="0.2">
      <c r="B162" s="124">
        <v>0</v>
      </c>
      <c r="C162" s="125">
        <f t="dataTable" ref="C162:C171" dt2D="0" dtr="0" r1="B82" ca="1"/>
        <v>134.0054385818795</v>
      </c>
      <c r="H162" s="124">
        <v>0.05</v>
      </c>
      <c r="I162" s="125">
        <f t="dataTable" ref="I162:I173" dt2D="0" dtr="0" r1="B81"/>
        <v>182.91135088011407</v>
      </c>
    </row>
    <row r="163" spans="1:9" ht="14.95" customHeight="1" x14ac:dyDescent="0.2">
      <c r="B163" s="124">
        <v>5.0000000000000001E-3</v>
      </c>
      <c r="C163" s="125">
        <v>146.32188493215367</v>
      </c>
      <c r="H163" s="124">
        <v>5.0200000000000002E-2</v>
      </c>
      <c r="I163" s="125">
        <v>181.69562316632971</v>
      </c>
    </row>
    <row r="164" spans="1:9" ht="14.95" customHeight="1" x14ac:dyDescent="0.2">
      <c r="B164" s="126">
        <v>0.01</v>
      </c>
      <c r="C164" s="125">
        <v>161.69888831308032</v>
      </c>
      <c r="H164" s="124">
        <v>5.5E-2</v>
      </c>
      <c r="I164" s="125">
        <v>156.21883486533858</v>
      </c>
    </row>
    <row r="165" spans="1:9" ht="14.95" customHeight="1" x14ac:dyDescent="0.2">
      <c r="B165" s="124">
        <v>1.4999999999999999E-2</v>
      </c>
      <c r="C165" s="125">
        <v>181.43909061025022</v>
      </c>
      <c r="H165" s="124">
        <v>0.06</v>
      </c>
      <c r="I165" s="125">
        <v>135.55427979658106</v>
      </c>
    </row>
    <row r="166" spans="1:9" ht="14.95" customHeight="1" x14ac:dyDescent="0.2">
      <c r="B166" s="126">
        <v>0.02</v>
      </c>
      <c r="C166" s="125">
        <v>207.70659815501318</v>
      </c>
      <c r="H166" s="124">
        <v>6.5000000000000002E-2</v>
      </c>
      <c r="I166" s="125">
        <v>119.10561724372228</v>
      </c>
    </row>
    <row r="167" spans="1:9" ht="14.95" customHeight="1" x14ac:dyDescent="0.2">
      <c r="B167" s="124">
        <v>2.5000000000000001E-2</v>
      </c>
      <c r="C167" s="125">
        <v>244.38017027257911</v>
      </c>
      <c r="H167" s="124">
        <v>7.0000000000000007E-2</v>
      </c>
      <c r="I167" s="125">
        <v>105.71987495905431</v>
      </c>
    </row>
    <row r="168" spans="1:9" ht="14.95" customHeight="1" x14ac:dyDescent="0.2">
      <c r="B168" s="126">
        <v>0.03</v>
      </c>
      <c r="C168" s="125">
        <v>299.17085923687267</v>
      </c>
      <c r="H168" s="124">
        <v>7.4999999999999997E-2</v>
      </c>
      <c r="I168" s="125">
        <v>94.628545453383794</v>
      </c>
    </row>
    <row r="169" spans="1:9" ht="14.95" customHeight="1" x14ac:dyDescent="0.2">
      <c r="B169" s="124">
        <v>3.5000000000000003E-2</v>
      </c>
      <c r="C169" s="125">
        <v>389.90754935369273</v>
      </c>
      <c r="H169" s="124">
        <v>0.08</v>
      </c>
      <c r="I169" s="125">
        <v>85.299707973241908</v>
      </c>
    </row>
    <row r="170" spans="1:9" ht="14.95" customHeight="1" x14ac:dyDescent="0.2">
      <c r="B170" s="126">
        <v>0.04</v>
      </c>
      <c r="C170" s="125">
        <v>569.23266830234616</v>
      </c>
      <c r="H170" s="124">
        <v>8.5000000000000006E-2</v>
      </c>
      <c r="I170" s="125">
        <v>77.353527152809832</v>
      </c>
    </row>
    <row r="171" spans="1:9" ht="14.95" customHeight="1" x14ac:dyDescent="0.2">
      <c r="B171" s="124">
        <v>4.4999999999999998E-2</v>
      </c>
      <c r="C171" s="125">
        <v>1090.6181597438849</v>
      </c>
      <c r="H171" s="124">
        <v>0.09</v>
      </c>
      <c r="I171" s="125">
        <v>70.511552536553154</v>
      </c>
    </row>
    <row r="172" spans="1:9" ht="14.95" customHeight="1" x14ac:dyDescent="0.2">
      <c r="H172" s="124">
        <v>9.5000000000000001E-2</v>
      </c>
      <c r="I172" s="125">
        <v>64.565031072003919</v>
      </c>
    </row>
    <row r="173" spans="1:9" ht="14.95" customHeight="1" x14ac:dyDescent="0.2">
      <c r="H173" s="124">
        <v>0.1</v>
      </c>
      <c r="I173" s="125">
        <v>59.354403685404698</v>
      </c>
    </row>
  </sheetData>
  <mergeCells count="4">
    <mergeCell ref="Q32:AB33"/>
    <mergeCell ref="A108:B109"/>
    <mergeCell ref="H2:I3"/>
    <mergeCell ref="C2:D2"/>
  </mergeCells>
  <conditionalFormatting sqref="B62">
    <cfRule type="containsText" dxfId="9" priority="29" operator="containsText" text="BUY">
      <formula>NOT(ISERROR(SEARCH("BUY",B62)))</formula>
    </cfRule>
    <cfRule type="containsText" dxfId="8" priority="32" operator="containsText" text="SELL">
      <formula>NOT(ISERROR(SEARCH("SELL",B62)))</formula>
    </cfRule>
    <cfRule type="colorScale" priority="33">
      <colorScale>
        <cfvo type="min"/>
        <cfvo type="max"/>
        <color rgb="FFFF0000"/>
        <color rgb="FF00B050"/>
      </colorScale>
    </cfRule>
  </conditionalFormatting>
  <conditionalFormatting sqref="B78">
    <cfRule type="containsText" dxfId="7" priority="26" operator="containsText" text="BUY">
      <formula>NOT(ISERROR(SEARCH("BUY",B78)))</formula>
    </cfRule>
    <cfRule type="containsText" dxfId="6" priority="27" operator="containsText" text="SELL">
      <formula>NOT(ISERROR(SEARCH("SELL",B78)))</formula>
    </cfRule>
    <cfRule type="colorScale" priority="28">
      <colorScale>
        <cfvo type="min"/>
        <cfvo type="max"/>
        <color rgb="FFFF0000"/>
        <color rgb="FF00B050"/>
      </colorScale>
    </cfRule>
  </conditionalFormatting>
  <conditionalFormatting sqref="B94">
    <cfRule type="containsText" dxfId="5" priority="23" operator="containsText" text="BUY">
      <formula>NOT(ISERROR(SEARCH("BUY",B94)))</formula>
    </cfRule>
    <cfRule type="containsText" dxfId="4" priority="24" operator="containsText" text="SELL">
      <formula>NOT(ISERROR(SEARCH("SELL",B94)))</formula>
    </cfRule>
    <cfRule type="colorScale" priority="25">
      <colorScale>
        <cfvo type="min"/>
        <cfvo type="max"/>
        <color rgb="FFFF0000"/>
        <color rgb="FF00B050"/>
      </colorScale>
    </cfRule>
  </conditionalFormatting>
  <conditionalFormatting sqref="C127:C136">
    <cfRule type="colorScale" priority="58">
      <colorScale>
        <cfvo type="formula" val="$J$3/3"/>
        <cfvo type="formula" val="$J$3"/>
        <cfvo type="formula" val="$J$3*2"/>
        <color rgb="FFFF0000"/>
        <color rgb="FFFFFF00"/>
        <color rgb="FF00B050"/>
      </colorScale>
    </cfRule>
    <cfRule type="colorScale" priority="59">
      <colorScale>
        <cfvo type="num" val="120"/>
        <cfvo type="num" val="140"/>
        <cfvo type="num" val="190"/>
        <color rgb="FFF8696B"/>
        <color rgb="FFFFEB84"/>
        <color rgb="FF63BE7B"/>
      </colorScale>
    </cfRule>
  </conditionalFormatting>
  <conditionalFormatting sqref="C145:C154 C162:C171 I162:I173 I144:I155 I127:I138">
    <cfRule type="colorScale" priority="60">
      <colorScale>
        <cfvo type="formula" val="$J$3/1.5"/>
        <cfvo type="formula" val="$J$3"/>
        <cfvo type="formula" val="$J$3*1.5"/>
        <color rgb="FFFF0000"/>
        <color rgb="FFFFFF00"/>
        <color rgb="FF00B050"/>
      </colorScale>
    </cfRule>
    <cfRule type="colorScale" priority="61">
      <colorScale>
        <cfvo type="num" val="120"/>
        <cfvo type="num" val="140"/>
        <cfvo type="num" val="190"/>
        <color rgb="FFF8696B"/>
        <color rgb="FFFFEB84"/>
        <color rgb="FF63BE7B"/>
      </colorScale>
    </cfRule>
  </conditionalFormatting>
  <conditionalFormatting sqref="D100:J123">
    <cfRule type="colorScale" priority="70">
      <colorScale>
        <cfvo type="formula" val="$J$3/3"/>
        <cfvo type="formula" val="$J$3"/>
        <cfvo type="formula" val="$J$3*2"/>
        <color rgb="FFFF0000"/>
        <color rgb="FFFFFF00"/>
        <color rgb="FF00B050"/>
      </colorScale>
    </cfRule>
    <cfRule type="colorScale" priority="71">
      <colorScale>
        <cfvo type="formula" val="$J$3/2"/>
        <cfvo type="formula" val="$J$3"/>
        <cfvo type="formula" val="$J$3*2"/>
        <color rgb="FFFF0000"/>
        <color rgb="FFFFFF00"/>
        <color rgb="FF00B050"/>
      </colorScale>
    </cfRule>
    <cfRule type="colorScale" priority="72">
      <colorScale>
        <cfvo type="formula" val="$J$3*0.75"/>
        <cfvo type="formula" val="$J$3"/>
        <cfvo type="formula" val="$J$3*1.25"/>
        <color rgb="FFFF0000"/>
        <color rgb="FFFFFF00"/>
        <color rgb="FF00B050"/>
      </colorScale>
    </cfRule>
    <cfRule type="colorScale" priority="73">
      <colorScale>
        <cfvo type="percentile" val="10"/>
        <cfvo type="percentile" val="50"/>
        <cfvo type="percentile" val="90"/>
        <color rgb="FFF8696B"/>
        <color rgb="FFFFEB84"/>
        <color rgb="FF63BE7B"/>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3C297-7D40-DB44-B4D7-E7B645D00483}">
  <dimension ref="A1:AI177"/>
  <sheetViews>
    <sheetView showGridLines="0" zoomScale="86" workbookViewId="0">
      <selection activeCell="H1" sqref="H1"/>
    </sheetView>
  </sheetViews>
  <sheetFormatPr defaultColWidth="12.875" defaultRowHeight="12.9" x14ac:dyDescent="0.2"/>
  <cols>
    <col min="1" max="1" width="40.375" customWidth="1"/>
  </cols>
  <sheetData>
    <row r="1" spans="1:10" ht="25.15" x14ac:dyDescent="0.4">
      <c r="A1" s="128" t="s">
        <v>0</v>
      </c>
      <c r="B1" s="29" t="s">
        <v>175</v>
      </c>
    </row>
    <row r="2" spans="1:10" x14ac:dyDescent="0.2">
      <c r="A2" s="29" t="s">
        <v>280</v>
      </c>
      <c r="B2" s="4">
        <f ca="1">'DCF - Moderate'!J3</f>
        <v>86.35</v>
      </c>
      <c r="C2" s="144"/>
      <c r="D2" s="144"/>
    </row>
    <row r="3" spans="1:10" ht="14.95" customHeight="1" x14ac:dyDescent="0.25">
      <c r="A3" s="61" t="s">
        <v>168</v>
      </c>
      <c r="B3" s="62" t="str">
        <f>IS!B8</f>
        <v>DEC '19</v>
      </c>
      <c r="C3" s="62" t="str">
        <f>IS!C8</f>
        <v>DEC '20</v>
      </c>
      <c r="D3" s="62" t="str">
        <f>IS!D8</f>
        <v>DEC '21</v>
      </c>
      <c r="E3" s="62" t="str">
        <f>IS!E8</f>
        <v>DEC '22</v>
      </c>
      <c r="F3" s="63" t="str">
        <f>IS!F8</f>
        <v>DEC '23</v>
      </c>
    </row>
    <row r="4" spans="1:10" ht="14.95" customHeight="1" x14ac:dyDescent="0.25">
      <c r="A4" s="64" t="str">
        <f>IS!A9</f>
        <v>Sales</v>
      </c>
      <c r="B4" s="65">
        <f>IS!B9</f>
        <v>1476</v>
      </c>
      <c r="C4" s="65">
        <f>IS!C9</f>
        <v>1926.7</v>
      </c>
      <c r="D4" s="65">
        <f>IS!D9</f>
        <v>2448.5</v>
      </c>
      <c r="E4" s="65">
        <f>IS!E9</f>
        <v>2909.8</v>
      </c>
      <c r="F4" s="66">
        <f>IS!F9</f>
        <v>3622.3</v>
      </c>
      <c r="J4" s="132"/>
    </row>
    <row r="5" spans="1:10" ht="14.95" customHeight="1" x14ac:dyDescent="0.2">
      <c r="A5" s="67" t="s">
        <v>171</v>
      </c>
      <c r="B5" s="68">
        <f t="shared" ref="B5:F5" si="0">B29</f>
        <v>0.43078712679333087</v>
      </c>
      <c r="C5" s="68">
        <f t="shared" si="0"/>
        <v>0.30535230352303527</v>
      </c>
      <c r="D5" s="68">
        <f t="shared" si="0"/>
        <v>0.27082576426013388</v>
      </c>
      <c r="E5" s="68">
        <f t="shared" si="0"/>
        <v>0.18840106187461719</v>
      </c>
      <c r="F5" s="69">
        <f t="shared" si="0"/>
        <v>0.24486218984122618</v>
      </c>
    </row>
    <row r="6" spans="1:10" ht="14.95" customHeight="1" x14ac:dyDescent="0.25">
      <c r="A6" s="70"/>
      <c r="F6" s="60"/>
    </row>
    <row r="7" spans="1:10" ht="14.95" customHeight="1" x14ac:dyDescent="0.25">
      <c r="A7" s="64" t="str">
        <f>IS!A19</f>
        <v>EBIT</v>
      </c>
      <c r="B7" s="65">
        <f>IS!B19</f>
        <v>142.30000000000001</v>
      </c>
      <c r="C7" s="65">
        <f>IS!C19</f>
        <v>299.5</v>
      </c>
      <c r="D7" s="65">
        <f>IS!D19</f>
        <v>265.8</v>
      </c>
      <c r="E7" s="65">
        <f>IS!E19</f>
        <v>391.2</v>
      </c>
      <c r="F7" s="66">
        <f>IS!F19</f>
        <v>597.70000000000005</v>
      </c>
    </row>
    <row r="8" spans="1:10" ht="14.95" customHeight="1" x14ac:dyDescent="0.2">
      <c r="A8" s="67" t="s">
        <v>170</v>
      </c>
      <c r="B8" s="71">
        <f>B7/B4</f>
        <v>9.6409214092140927E-2</v>
      </c>
      <c r="C8" s="71">
        <f t="shared" ref="C8:F8" si="1">C7/C4</f>
        <v>0.1554471375927752</v>
      </c>
      <c r="D8" s="71">
        <f t="shared" si="1"/>
        <v>0.10855625893404125</v>
      </c>
      <c r="E8" s="71">
        <f t="shared" si="1"/>
        <v>0.13444222970650901</v>
      </c>
      <c r="F8" s="72">
        <f t="shared" si="1"/>
        <v>0.16500565938768186</v>
      </c>
    </row>
    <row r="9" spans="1:10" ht="14.95" customHeight="1" x14ac:dyDescent="0.25">
      <c r="A9" s="70"/>
      <c r="F9" s="60"/>
    </row>
    <row r="10" spans="1:10" ht="14.95" customHeight="1" x14ac:dyDescent="0.25">
      <c r="A10" s="64" t="s">
        <v>169</v>
      </c>
      <c r="B10" s="65">
        <f>IS!B29</f>
        <v>3.1</v>
      </c>
      <c r="C10" s="65">
        <f>IS!C29</f>
        <v>-268.60000000000002</v>
      </c>
      <c r="D10" s="65">
        <f>IS!D29</f>
        <v>39.9</v>
      </c>
      <c r="E10" s="65">
        <f>IS!E29</f>
        <v>49.6</v>
      </c>
      <c r="F10" s="66">
        <f>IS!F29</f>
        <v>168.9</v>
      </c>
    </row>
    <row r="11" spans="1:10" ht="14.95" customHeight="1" x14ac:dyDescent="0.2">
      <c r="A11" s="73" t="s">
        <v>172</v>
      </c>
      <c r="B11" s="45">
        <f>B10/B7</f>
        <v>2.1784961349262121E-2</v>
      </c>
      <c r="C11" s="45">
        <f t="shared" ref="C11:F11" si="2">C10/C7</f>
        <v>-0.89682804674457439</v>
      </c>
      <c r="D11" s="45">
        <f t="shared" si="2"/>
        <v>0.15011286681715574</v>
      </c>
      <c r="E11" s="45">
        <f t="shared" si="2"/>
        <v>0.12678936605316973</v>
      </c>
      <c r="F11" s="58">
        <f t="shared" si="2"/>
        <v>0.28258323573699179</v>
      </c>
    </row>
    <row r="12" spans="1:10" ht="14.95" customHeight="1" x14ac:dyDescent="0.25">
      <c r="A12" s="1"/>
      <c r="I12" t="s">
        <v>270</v>
      </c>
    </row>
    <row r="13" spans="1:10" ht="14.95" customHeight="1" x14ac:dyDescent="0.25">
      <c r="A13" s="61" t="s">
        <v>173</v>
      </c>
      <c r="B13" s="62" t="str">
        <f>B3</f>
        <v>DEC '19</v>
      </c>
      <c r="C13" s="62" t="str">
        <f t="shared" ref="C13:F13" si="3">C3</f>
        <v>DEC '20</v>
      </c>
      <c r="D13" s="62" t="str">
        <f t="shared" si="3"/>
        <v>DEC '21</v>
      </c>
      <c r="E13" s="62" t="str">
        <f t="shared" si="3"/>
        <v>DEC '22</v>
      </c>
      <c r="F13" s="63" t="str">
        <f t="shared" si="3"/>
        <v>DEC '23</v>
      </c>
    </row>
    <row r="14" spans="1:10" ht="14.95" customHeight="1" x14ac:dyDescent="0.25">
      <c r="A14" s="64" t="s">
        <v>174</v>
      </c>
      <c r="B14" s="65">
        <f>IS!B48</f>
        <v>48.7</v>
      </c>
      <c r="C14" s="65">
        <f>IS!C48</f>
        <v>67.099999999999994</v>
      </c>
      <c r="D14" s="65">
        <f>IS!D48</f>
        <v>101.9</v>
      </c>
      <c r="E14" s="65">
        <f>IS!E48</f>
        <v>155.9</v>
      </c>
      <c r="F14" s="66">
        <f>IS!F48</f>
        <v>186</v>
      </c>
    </row>
    <row r="15" spans="1:10" ht="14.95" customHeight="1" x14ac:dyDescent="0.2">
      <c r="A15" s="67" t="s">
        <v>176</v>
      </c>
      <c r="B15" s="71">
        <f>B14/B$4</f>
        <v>3.2994579945799463E-2</v>
      </c>
      <c r="C15" s="71">
        <f t="shared" ref="C15:F15" si="4">C14/C4</f>
        <v>3.4826387086728597E-2</v>
      </c>
      <c r="D15" s="71">
        <f t="shared" si="4"/>
        <v>4.1617316724525219E-2</v>
      </c>
      <c r="E15" s="71">
        <f t="shared" si="4"/>
        <v>5.357756546841707E-2</v>
      </c>
      <c r="F15" s="72">
        <f t="shared" si="4"/>
        <v>5.134859067443337E-2</v>
      </c>
    </row>
    <row r="16" spans="1:10" ht="14.95" customHeight="1" x14ac:dyDescent="0.25">
      <c r="A16" s="70"/>
      <c r="F16" s="60"/>
    </row>
    <row r="17" spans="1:35" ht="14.95" customHeight="1" x14ac:dyDescent="0.25">
      <c r="A17" s="64" t="s">
        <v>177</v>
      </c>
      <c r="B17" s="65">
        <f>CFS!B27</f>
        <v>-180</v>
      </c>
      <c r="C17" s="65">
        <f>CFS!C27</f>
        <v>-199</v>
      </c>
      <c r="D17" s="65">
        <f>CFS!D27</f>
        <v>-389.2</v>
      </c>
      <c r="E17" s="65">
        <f>CFS!E27</f>
        <v>-364.8</v>
      </c>
      <c r="F17" s="66">
        <f>CFS!F27</f>
        <v>-236.6</v>
      </c>
    </row>
    <row r="18" spans="1:35" ht="14.95" customHeight="1" x14ac:dyDescent="0.2">
      <c r="A18" s="67" t="s">
        <v>176</v>
      </c>
      <c r="B18" s="71">
        <f>-B17/B$4</f>
        <v>0.12195121951219512</v>
      </c>
      <c r="C18" s="71">
        <f t="shared" ref="C18:F18" si="5">-C17/C$4</f>
        <v>0.10328541028701925</v>
      </c>
      <c r="D18" s="71">
        <f t="shared" si="5"/>
        <v>0.15895446191545845</v>
      </c>
      <c r="E18" s="71">
        <f t="shared" si="5"/>
        <v>0.1253694411987078</v>
      </c>
      <c r="F18" s="72">
        <f t="shared" si="5"/>
        <v>6.5317615879413621E-2</v>
      </c>
    </row>
    <row r="19" spans="1:35" ht="14.95" customHeight="1" x14ac:dyDescent="0.25">
      <c r="A19" s="70"/>
      <c r="F19" s="60"/>
    </row>
    <row r="20" spans="1:35" ht="14.95" customHeight="1" x14ac:dyDescent="0.25">
      <c r="A20" s="64" t="s">
        <v>178</v>
      </c>
      <c r="B20" s="65">
        <f>CFS!B19</f>
        <v>6.1</v>
      </c>
      <c r="C20" s="65">
        <f>CFS!C19</f>
        <v>-20.8</v>
      </c>
      <c r="D20" s="65">
        <f>CFS!D19</f>
        <v>-132</v>
      </c>
      <c r="E20" s="65">
        <f>CFS!E19</f>
        <v>26.7</v>
      </c>
      <c r="F20" s="66">
        <f>CFS!F19</f>
        <v>3.2</v>
      </c>
    </row>
    <row r="21" spans="1:35" ht="14.95" customHeight="1" x14ac:dyDescent="0.2">
      <c r="A21" s="73" t="s">
        <v>176</v>
      </c>
      <c r="B21" s="45">
        <f t="shared" ref="B21:F21" si="6">B20/B$4</f>
        <v>4.1327913279132792E-3</v>
      </c>
      <c r="C21" s="45">
        <f t="shared" si="6"/>
        <v>-1.0795660974723622E-2</v>
      </c>
      <c r="D21" s="45">
        <f t="shared" si="6"/>
        <v>-5.3910557484173983E-2</v>
      </c>
      <c r="E21" s="45">
        <f t="shared" si="6"/>
        <v>9.1758883772080548E-3</v>
      </c>
      <c r="F21" s="58">
        <f t="shared" si="6"/>
        <v>8.8341661375369244E-4</v>
      </c>
    </row>
    <row r="24" spans="1:35" s="37" customFormat="1" ht="29.05" customHeight="1" x14ac:dyDescent="0.4">
      <c r="A24" s="38" t="s">
        <v>179</v>
      </c>
    </row>
    <row r="25" spans="1:35" ht="14.95" customHeight="1" x14ac:dyDescent="0.2">
      <c r="A25" t="s">
        <v>271</v>
      </c>
    </row>
    <row r="27" spans="1:35" ht="14.95" customHeight="1" x14ac:dyDescent="0.25">
      <c r="A27" s="61" t="str">
        <f>A3</f>
        <v>Income Statement</v>
      </c>
      <c r="B27" s="62" t="str">
        <f>IS!B8</f>
        <v>DEC '19</v>
      </c>
      <c r="C27" s="62" t="str">
        <f>IS!C8</f>
        <v>DEC '20</v>
      </c>
      <c r="D27" s="62" t="s">
        <v>1</v>
      </c>
      <c r="E27" s="62" t="s">
        <v>2</v>
      </c>
      <c r="F27" s="62" t="s">
        <v>3</v>
      </c>
      <c r="G27" s="62" t="s">
        <v>4</v>
      </c>
      <c r="H27" s="62" t="s">
        <v>5</v>
      </c>
      <c r="I27" s="62" t="s">
        <v>6</v>
      </c>
      <c r="J27" s="62" t="s">
        <v>7</v>
      </c>
      <c r="K27" s="62" t="s">
        <v>8</v>
      </c>
      <c r="L27" s="62" t="s">
        <v>166</v>
      </c>
      <c r="M27" s="62" t="s">
        <v>167</v>
      </c>
      <c r="N27" s="62" t="s">
        <v>214</v>
      </c>
      <c r="O27" s="62" t="s">
        <v>215</v>
      </c>
      <c r="P27" s="63" t="s">
        <v>216</v>
      </c>
    </row>
    <row r="28" spans="1:35" ht="14.95" customHeight="1" x14ac:dyDescent="0.25">
      <c r="A28" s="64" t="s">
        <v>9</v>
      </c>
      <c r="B28" s="105">
        <f>IS!B9</f>
        <v>1476</v>
      </c>
      <c r="C28" s="105">
        <f>IS!C9</f>
        <v>1926.7</v>
      </c>
      <c r="D28" s="105">
        <v>2448.5</v>
      </c>
      <c r="E28" s="105">
        <v>2909.8</v>
      </c>
      <c r="F28" s="105">
        <v>3622.3</v>
      </c>
      <c r="G28" s="99">
        <f>'IS est'!E4*1.2</f>
        <v>5193</v>
      </c>
      <c r="H28" s="99">
        <f>'IS est'!F4*1.2</f>
        <v>6182.2919999999995</v>
      </c>
      <c r="I28" s="99">
        <f>'IS est'!G4*1.2</f>
        <v>7282.0079999999998</v>
      </c>
      <c r="J28" s="99">
        <f>'IS est'!H4*1.2</f>
        <v>8325.503999999999</v>
      </c>
      <c r="K28" s="99">
        <f>'IS est'!I4*1.2</f>
        <v>9523.1999999999989</v>
      </c>
      <c r="L28" s="99">
        <f>K28*(1+L29)</f>
        <v>10799.694938905033</v>
      </c>
      <c r="M28" s="99">
        <f t="shared" ref="M28:P28" si="7">L28*(1+M29)</f>
        <v>12186.174005886127</v>
      </c>
      <c r="N28" s="99">
        <f t="shared" si="7"/>
        <v>13763.016152810582</v>
      </c>
      <c r="O28" s="99">
        <f t="shared" si="7"/>
        <v>15560.548011250081</v>
      </c>
      <c r="P28" s="99">
        <f t="shared" si="7"/>
        <v>17575.033517518546</v>
      </c>
      <c r="Q28" t="s">
        <v>275</v>
      </c>
      <c r="AI28">
        <v>-1</v>
      </c>
    </row>
    <row r="29" spans="1:35" ht="14.95" customHeight="1" x14ac:dyDescent="0.2">
      <c r="A29" s="74" t="s">
        <v>171</v>
      </c>
      <c r="B29" s="71">
        <f>(B28-1031.6)/1031.6</f>
        <v>0.43078712679333087</v>
      </c>
      <c r="C29" s="71">
        <f>(C28-IS!B9)/IS!B9</f>
        <v>0.30535230352303527</v>
      </c>
      <c r="D29" s="71">
        <f>(D28-IS!C9)/IS!C9</f>
        <v>0.27082576426013388</v>
      </c>
      <c r="E29" s="71">
        <f>(E28-IS!D9)/IS!D9</f>
        <v>0.18840106187461719</v>
      </c>
      <c r="F29" s="71">
        <f>(F28-IS!E9)/IS!E9</f>
        <v>0.24486218984122618</v>
      </c>
      <c r="G29" s="71">
        <f>(G28-IS!F9)/IS!F9</f>
        <v>0.43361952350716387</v>
      </c>
      <c r="H29" s="71">
        <f>(H28-G28)/H28</f>
        <v>0.16002026432915165</v>
      </c>
      <c r="I29" s="71">
        <f t="shared" ref="I29:K29" si="8">(I28-H28)/I28</f>
        <v>0.15101823562951322</v>
      </c>
      <c r="J29" s="71">
        <f t="shared" si="8"/>
        <v>0.12533727687837268</v>
      </c>
      <c r="K29" s="71">
        <f t="shared" si="8"/>
        <v>0.12576612903225806</v>
      </c>
      <c r="L29" s="71">
        <f>AVERAGE(I29:K29)</f>
        <v>0.13404054718004799</v>
      </c>
      <c r="M29" s="71">
        <f t="shared" ref="M29:P29" si="9">AVERAGE(J29:L29)</f>
        <v>0.1283813176968929</v>
      </c>
      <c r="N29" s="71">
        <f t="shared" si="9"/>
        <v>0.12939599796973297</v>
      </c>
      <c r="O29" s="71">
        <f t="shared" si="9"/>
        <v>0.13060595428222463</v>
      </c>
      <c r="P29" s="71">
        <f t="shared" si="9"/>
        <v>0.12946108998295017</v>
      </c>
      <c r="Q29" t="s">
        <v>296</v>
      </c>
    </row>
    <row r="30" spans="1:35" ht="14.95" customHeight="1" x14ac:dyDescent="0.2">
      <c r="A30" s="75"/>
      <c r="B30" s="4"/>
      <c r="C30" s="5"/>
      <c r="D30" s="5"/>
      <c r="E30" s="5"/>
      <c r="F30" s="5"/>
      <c r="G30" s="5"/>
      <c r="H30" s="5"/>
      <c r="I30" s="5"/>
      <c r="P30" s="60"/>
    </row>
    <row r="31" spans="1:35" ht="14.95" customHeight="1" x14ac:dyDescent="0.25">
      <c r="A31" s="64" t="str">
        <f t="shared" ref="A31:F31" si="10">A7</f>
        <v>EBIT</v>
      </c>
      <c r="B31" s="105">
        <f t="shared" si="10"/>
        <v>142.30000000000001</v>
      </c>
      <c r="C31" s="105">
        <f t="shared" si="10"/>
        <v>299.5</v>
      </c>
      <c r="D31" s="105">
        <f t="shared" si="10"/>
        <v>265.8</v>
      </c>
      <c r="E31" s="105">
        <f t="shared" si="10"/>
        <v>391.2</v>
      </c>
      <c r="F31" s="106">
        <f t="shared" si="10"/>
        <v>597.70000000000005</v>
      </c>
      <c r="G31" s="99">
        <f>'IS est'!E30*1.2</f>
        <v>1038.0624</v>
      </c>
      <c r="H31" s="99">
        <f>'IS est'!F30*1.2</f>
        <v>1384.8119999999999</v>
      </c>
      <c r="I31" s="99">
        <f>'IS est'!G30*1.2</f>
        <v>1774.848</v>
      </c>
      <c r="J31" s="99">
        <f>'IS est'!H30*1.2</f>
        <v>2026.1399999999999</v>
      </c>
      <c r="K31" s="99">
        <f>'IS est'!I30*1.2</f>
        <v>2365.9199999999996</v>
      </c>
      <c r="L31" s="99">
        <f>K31*(1+L32)</f>
        <v>3003.9982725707623</v>
      </c>
      <c r="M31" s="99">
        <f t="shared" ref="M31:P31" si="11">L31*(1+M32)</f>
        <v>3842.7630834450142</v>
      </c>
      <c r="N31" s="99">
        <f t="shared" si="11"/>
        <v>4966.2386712390344</v>
      </c>
      <c r="O31" s="99">
        <f t="shared" si="11"/>
        <v>6498.1585585505309</v>
      </c>
      <c r="P31" s="99">
        <f t="shared" si="11"/>
        <v>8595.0034350118276</v>
      </c>
      <c r="Q31" t="s">
        <v>277</v>
      </c>
    </row>
    <row r="32" spans="1:35" ht="14.95" customHeight="1" x14ac:dyDescent="0.2">
      <c r="A32" s="67" t="s">
        <v>170</v>
      </c>
      <c r="B32" s="71">
        <f>B31/B28</f>
        <v>9.6409214092140927E-2</v>
      </c>
      <c r="C32" s="71">
        <f t="shared" ref="C32:G32" si="12">C31/C28</f>
        <v>0.1554471375927752</v>
      </c>
      <c r="D32" s="71">
        <f t="shared" si="12"/>
        <v>0.10855625893404125</v>
      </c>
      <c r="E32" s="71">
        <f t="shared" si="12"/>
        <v>0.13444222970650901</v>
      </c>
      <c r="F32" s="71">
        <f t="shared" si="12"/>
        <v>0.16500565938768186</v>
      </c>
      <c r="G32" s="71">
        <f t="shared" si="12"/>
        <v>0.19989647602541885</v>
      </c>
      <c r="H32" s="71">
        <f>H31/H28</f>
        <v>0.22399653720658941</v>
      </c>
      <c r="I32" s="71">
        <f>I31/I28</f>
        <v>0.24373057541271584</v>
      </c>
      <c r="J32" s="71">
        <f>J31/J28</f>
        <v>0.24336544670448781</v>
      </c>
      <c r="K32" s="71">
        <f>K31/K28</f>
        <v>0.24843749999999998</v>
      </c>
      <c r="L32" s="68">
        <f>AVERAGE(I32:K32)*1.1</f>
        <v>0.26969562477630804</v>
      </c>
      <c r="M32" s="68">
        <f t="shared" ref="M32:P32" si="13">AVERAGE(J32:L32)*1.1</f>
        <v>0.27921614287629182</v>
      </c>
      <c r="N32" s="68">
        <f t="shared" si="13"/>
        <v>0.29236139813928663</v>
      </c>
      <c r="O32" s="68">
        <f t="shared" si="13"/>
        <v>0.30846682745702508</v>
      </c>
      <c r="P32" s="69">
        <f t="shared" si="13"/>
        <v>0.32268293510662133</v>
      </c>
      <c r="Q32" s="142" t="s">
        <v>276</v>
      </c>
      <c r="R32" s="142"/>
      <c r="S32" s="142"/>
      <c r="T32" s="142"/>
      <c r="U32" s="142"/>
      <c r="V32" s="142"/>
      <c r="W32" s="142"/>
      <c r="X32" s="142"/>
      <c r="Y32" s="142"/>
      <c r="Z32" s="142"/>
      <c r="AA32" s="142"/>
      <c r="AB32" s="142"/>
    </row>
    <row r="33" spans="1:28" ht="14.95" customHeight="1" x14ac:dyDescent="0.2">
      <c r="A33" s="40"/>
      <c r="P33" s="60"/>
      <c r="Q33" s="142"/>
      <c r="R33" s="142"/>
      <c r="S33" s="142"/>
      <c r="T33" s="142"/>
      <c r="U33" s="142"/>
      <c r="V33" s="142"/>
      <c r="W33" s="142"/>
      <c r="X33" s="142"/>
      <c r="Y33" s="142"/>
      <c r="Z33" s="142"/>
      <c r="AA33" s="142"/>
      <c r="AB33" s="142"/>
    </row>
    <row r="34" spans="1:28" ht="14.95" customHeight="1" x14ac:dyDescent="0.25">
      <c r="A34" s="64" t="str">
        <f t="shared" ref="A34:F35" si="14">A10</f>
        <v>Taxes</v>
      </c>
      <c r="B34" s="105">
        <f t="shared" si="14"/>
        <v>3.1</v>
      </c>
      <c r="C34" s="105">
        <f t="shared" si="14"/>
        <v>-268.60000000000002</v>
      </c>
      <c r="D34" s="105">
        <f t="shared" si="14"/>
        <v>39.9</v>
      </c>
      <c r="E34" s="105">
        <f t="shared" si="14"/>
        <v>49.6</v>
      </c>
      <c r="F34" s="105">
        <f t="shared" si="14"/>
        <v>168.9</v>
      </c>
      <c r="G34" s="99">
        <f>'IS est'!E35*1.05</f>
        <v>245.45745000000002</v>
      </c>
      <c r="H34" s="99">
        <f>'IS est'!F35*1.05</f>
        <v>300.46800000000002</v>
      </c>
      <c r="I34" s="99">
        <f>'IS est'!G35*1.05</f>
        <v>368.01344999999998</v>
      </c>
      <c r="J34" s="99">
        <f>'IS est'!H35*1.05</f>
        <v>432.411</v>
      </c>
      <c r="K34" s="99">
        <f>'IS est'!I35*1.05</f>
        <v>483.02625</v>
      </c>
      <c r="L34" s="100">
        <f>L31*(L35)</f>
        <v>647.87627943651341</v>
      </c>
      <c r="M34" s="100">
        <f t="shared" ref="M34:P34" si="15">M31*(M35)</f>
        <v>812.79866456167565</v>
      </c>
      <c r="N34" s="100">
        <f t="shared" si="15"/>
        <v>1045.0067510068952</v>
      </c>
      <c r="O34" s="100">
        <f t="shared" si="15"/>
        <v>1371.350305700076</v>
      </c>
      <c r="P34" s="101">
        <f t="shared" si="15"/>
        <v>1809.771466855658</v>
      </c>
    </row>
    <row r="35" spans="1:28" ht="14.95" customHeight="1" x14ac:dyDescent="0.2">
      <c r="A35" s="76" t="str">
        <f t="shared" si="14"/>
        <v>% operating income</v>
      </c>
      <c r="B35" s="45">
        <f>B34/B31</f>
        <v>2.1784961349262121E-2</v>
      </c>
      <c r="C35" s="45">
        <f t="shared" ref="C35:K35" si="16">C34/C31</f>
        <v>-0.89682804674457439</v>
      </c>
      <c r="D35" s="45">
        <f t="shared" si="16"/>
        <v>0.15011286681715574</v>
      </c>
      <c r="E35" s="45">
        <f t="shared" si="16"/>
        <v>0.12678936605316973</v>
      </c>
      <c r="F35" s="45">
        <f t="shared" si="16"/>
        <v>0.28258323573699179</v>
      </c>
      <c r="G35" s="45">
        <f t="shared" si="16"/>
        <v>0.23645731701678052</v>
      </c>
      <c r="H35" s="45">
        <f t="shared" si="16"/>
        <v>0.21697385637906086</v>
      </c>
      <c r="I35" s="45">
        <f t="shared" si="16"/>
        <v>0.20734927723388144</v>
      </c>
      <c r="J35" s="45">
        <f t="shared" si="16"/>
        <v>0.21341615090763719</v>
      </c>
      <c r="K35" s="45">
        <f t="shared" si="16"/>
        <v>0.20416000963684322</v>
      </c>
      <c r="L35" s="77">
        <f>AVERAGE(G35:K35)</f>
        <v>0.21567132223484062</v>
      </c>
      <c r="M35" s="77">
        <f t="shared" ref="M35:P35" si="17">AVERAGE(H35:L35)</f>
        <v>0.21151412327845268</v>
      </c>
      <c r="N35" s="77">
        <f t="shared" si="17"/>
        <v>0.21042217665833104</v>
      </c>
      <c r="O35" s="77">
        <f>AVERAGE(J35:N35)</f>
        <v>0.21103675654322096</v>
      </c>
      <c r="P35" s="78">
        <f t="shared" si="17"/>
        <v>0.21056087767033774</v>
      </c>
      <c r="Q35" t="s">
        <v>297</v>
      </c>
    </row>
    <row r="37" spans="1:28" ht="14.95" customHeight="1" x14ac:dyDescent="0.25">
      <c r="A37" s="61" t="str">
        <f t="shared" ref="A37:F45" si="18">A13</f>
        <v>Cash Flows</v>
      </c>
      <c r="B37" s="62" t="str">
        <f t="shared" si="18"/>
        <v>DEC '19</v>
      </c>
      <c r="C37" s="62" t="str">
        <f t="shared" si="18"/>
        <v>DEC '20</v>
      </c>
      <c r="D37" s="62" t="str">
        <f t="shared" si="18"/>
        <v>DEC '21</v>
      </c>
      <c r="E37" s="62" t="str">
        <f t="shared" si="18"/>
        <v>DEC '22</v>
      </c>
      <c r="F37" s="62" t="str">
        <f t="shared" si="18"/>
        <v>DEC '23</v>
      </c>
      <c r="G37" s="62" t="str">
        <f t="shared" ref="G37" si="19">G27</f>
        <v>Dec '24E</v>
      </c>
      <c r="H37" s="62" t="str">
        <f t="shared" ref="H37:M37" si="20">H27</f>
        <v>Dec '25E</v>
      </c>
      <c r="I37" s="62" t="str">
        <f t="shared" si="20"/>
        <v>Dec '26E</v>
      </c>
      <c r="J37" s="62" t="str">
        <f t="shared" si="20"/>
        <v>Dec '27E</v>
      </c>
      <c r="K37" s="62" t="str">
        <f t="shared" si="20"/>
        <v>Dec '28E</v>
      </c>
      <c r="L37" s="62" t="str">
        <f t="shared" si="20"/>
        <v>Dec '29E</v>
      </c>
      <c r="M37" s="62" t="str">
        <f t="shared" si="20"/>
        <v>Dec '30E</v>
      </c>
      <c r="N37" s="62" t="s">
        <v>214</v>
      </c>
      <c r="O37" s="62" t="s">
        <v>215</v>
      </c>
      <c r="P37" s="63" t="s">
        <v>216</v>
      </c>
    </row>
    <row r="38" spans="1:28" ht="14.95" customHeight="1" x14ac:dyDescent="0.25">
      <c r="A38" s="64" t="str">
        <f t="shared" si="18"/>
        <v>D&amp;A</v>
      </c>
      <c r="B38" s="105">
        <f t="shared" si="18"/>
        <v>48.7</v>
      </c>
      <c r="C38" s="105">
        <f t="shared" si="18"/>
        <v>67.099999999999994</v>
      </c>
      <c r="D38" s="105">
        <f t="shared" si="18"/>
        <v>101.9</v>
      </c>
      <c r="E38" s="105">
        <f t="shared" si="18"/>
        <v>155.9</v>
      </c>
      <c r="F38" s="105">
        <f t="shared" si="18"/>
        <v>186</v>
      </c>
      <c r="G38" s="99">
        <f>'IS est'!E23</f>
        <v>241.99299999999999</v>
      </c>
      <c r="H38" s="99">
        <f>'IS est'!F23</f>
        <v>298.92700000000002</v>
      </c>
      <c r="I38" s="99">
        <f>'IS est'!G23</f>
        <v>358.83199999999999</v>
      </c>
      <c r="J38" s="99">
        <f>'IS est'!H23</f>
        <v>438.59999999999991</v>
      </c>
      <c r="K38" s="99">
        <f>K39*K28</f>
        <v>534.12269397761224</v>
      </c>
      <c r="L38" s="99">
        <f t="shared" ref="L38:P38" si="21">L39*L28</f>
        <v>642.48950591435062</v>
      </c>
      <c r="M38" s="99">
        <f t="shared" si="21"/>
        <v>766.46679851444458</v>
      </c>
      <c r="N38" s="99">
        <f t="shared" si="21"/>
        <v>912.5072894176908</v>
      </c>
      <c r="O38" s="99">
        <f t="shared" si="21"/>
        <v>1084.6694841250483</v>
      </c>
      <c r="P38" s="102">
        <f t="shared" si="21"/>
        <v>1284.9345641782836</v>
      </c>
      <c r="Q38" t="s">
        <v>242</v>
      </c>
    </row>
    <row r="39" spans="1:28" ht="14.95" customHeight="1" x14ac:dyDescent="0.2">
      <c r="A39" s="67" t="str">
        <f t="shared" si="18"/>
        <v>% of sales</v>
      </c>
      <c r="B39" s="71">
        <f>B38/B$28</f>
        <v>3.2994579945799463E-2</v>
      </c>
      <c r="C39" s="71">
        <f t="shared" ref="C39:G39" si="22">C38/C$28</f>
        <v>3.4826387086728597E-2</v>
      </c>
      <c r="D39" s="71">
        <f t="shared" si="22"/>
        <v>4.1617316724525219E-2</v>
      </c>
      <c r="E39" s="71">
        <f t="shared" si="22"/>
        <v>5.357756546841707E-2</v>
      </c>
      <c r="F39" s="71">
        <f t="shared" si="22"/>
        <v>5.134859067443337E-2</v>
      </c>
      <c r="G39" s="71">
        <f t="shared" si="22"/>
        <v>4.6599845946466399E-2</v>
      </c>
      <c r="H39" s="71">
        <f>H38/H$28</f>
        <v>4.8352132186574179E-2</v>
      </c>
      <c r="I39" s="71">
        <f>I38/I$28</f>
        <v>4.9276518235080218E-2</v>
      </c>
      <c r="J39" s="71">
        <f>J38/J$28</f>
        <v>5.2681495318481618E-2</v>
      </c>
      <c r="K39" s="71">
        <f>J39*(1+(J39-I39)/J39)</f>
        <v>5.6086472401883018E-2</v>
      </c>
      <c r="L39" s="71">
        <f t="shared" ref="L39:P39" si="23">K39*(1+(K39-J39)/K39)</f>
        <v>5.9491449485284419E-2</v>
      </c>
      <c r="M39" s="71">
        <f t="shared" si="23"/>
        <v>6.2896426568685812E-2</v>
      </c>
      <c r="N39" s="71">
        <f t="shared" si="23"/>
        <v>6.6301403652087212E-2</v>
      </c>
      <c r="O39" s="71">
        <f t="shared" si="23"/>
        <v>6.9706380735488613E-2</v>
      </c>
      <c r="P39" s="72">
        <f t="shared" si="23"/>
        <v>7.3111357818890013E-2</v>
      </c>
      <c r="Q39" t="s">
        <v>241</v>
      </c>
    </row>
    <row r="40" spans="1:28" ht="14.95" customHeight="1" x14ac:dyDescent="0.25">
      <c r="A40" s="70"/>
      <c r="P40" s="60"/>
    </row>
    <row r="41" spans="1:28" ht="14.95" customHeight="1" x14ac:dyDescent="0.25">
      <c r="A41" s="64" t="str">
        <f t="shared" si="18"/>
        <v>CAPEX</v>
      </c>
      <c r="B41" s="105">
        <f t="shared" si="18"/>
        <v>-180</v>
      </c>
      <c r="C41" s="105">
        <f t="shared" si="18"/>
        <v>-199</v>
      </c>
      <c r="D41" s="105">
        <f t="shared" si="18"/>
        <v>-389.2</v>
      </c>
      <c r="E41" s="105">
        <f t="shared" si="18"/>
        <v>-364.8</v>
      </c>
      <c r="F41" s="105">
        <f t="shared" si="18"/>
        <v>-236.6</v>
      </c>
      <c r="G41" s="99">
        <f>(('CFS est'!E4)*-1.1)</f>
        <v>-358.02250000000004</v>
      </c>
      <c r="H41" s="99">
        <f>(('CFS est'!F4)*-1.1)</f>
        <v>-374.49940000000004</v>
      </c>
      <c r="I41" s="99">
        <f>(('CFS est'!G4)*-1.1)</f>
        <v>-415.25000000000006</v>
      </c>
      <c r="J41" s="100">
        <f>-J42*J28</f>
        <v>-628.12696546849975</v>
      </c>
      <c r="K41" s="100">
        <f t="shared" ref="K41:P41" si="24">-K42*K28</f>
        <v>-623.40252399896804</v>
      </c>
      <c r="L41" s="100">
        <f t="shared" si="24"/>
        <v>-707.27442218820602</v>
      </c>
      <c r="M41" s="100">
        <f t="shared" si="24"/>
        <v>-789.65931001536387</v>
      </c>
      <c r="N41" s="100">
        <f t="shared" si="24"/>
        <v>-903.46359236889202</v>
      </c>
      <c r="O41" s="100">
        <f t="shared" si="24"/>
        <v>-1048.2883108958335</v>
      </c>
      <c r="P41" s="101">
        <f t="shared" si="24"/>
        <v>-1155.6074158719252</v>
      </c>
      <c r="Q41" t="s">
        <v>243</v>
      </c>
    </row>
    <row r="42" spans="1:28" ht="14.95" customHeight="1" x14ac:dyDescent="0.2">
      <c r="A42" s="67" t="str">
        <f t="shared" si="18"/>
        <v>% of sales</v>
      </c>
      <c r="B42" s="71">
        <f>-B41/B$28</f>
        <v>0.12195121951219512</v>
      </c>
      <c r="C42" s="71">
        <f t="shared" ref="C42:F42" si="25">-C41/C$28</f>
        <v>0.10328541028701925</v>
      </c>
      <c r="D42" s="71">
        <f t="shared" si="25"/>
        <v>0.15895446191545845</v>
      </c>
      <c r="E42" s="71">
        <f t="shared" si="25"/>
        <v>0.1253694411987078</v>
      </c>
      <c r="F42" s="71">
        <f t="shared" si="25"/>
        <v>6.5317615879413621E-2</v>
      </c>
      <c r="G42" s="71">
        <f>-G41/G$28</f>
        <v>6.8943289042942432E-2</v>
      </c>
      <c r="H42" s="71">
        <f>-H41/H$28</f>
        <v>6.0576142310974648E-2</v>
      </c>
      <c r="I42" s="71">
        <f>-I41/I$28</f>
        <v>5.7024106537647321E-2</v>
      </c>
      <c r="J42" s="71">
        <f t="shared" ref="J42:P42" si="26">AVERAGE(E42:I42)</f>
        <v>7.5446118993937161E-2</v>
      </c>
      <c r="K42" s="71">
        <f t="shared" si="26"/>
        <v>6.5461454552983037E-2</v>
      </c>
      <c r="L42" s="71">
        <f t="shared" si="26"/>
        <v>6.5490222287696923E-2</v>
      </c>
      <c r="M42" s="71">
        <f t="shared" si="26"/>
        <v>6.479960893664781E-2</v>
      </c>
      <c r="N42" s="71">
        <f t="shared" si="26"/>
        <v>6.5644302261782445E-2</v>
      </c>
      <c r="O42" s="71">
        <f t="shared" si="26"/>
        <v>6.736834140660948E-2</v>
      </c>
      <c r="P42" s="72">
        <f t="shared" si="26"/>
        <v>6.5752785889143933E-2</v>
      </c>
      <c r="Q42" t="s">
        <v>272</v>
      </c>
    </row>
    <row r="43" spans="1:28" ht="14.95" customHeight="1" x14ac:dyDescent="0.25">
      <c r="A43" s="70"/>
      <c r="P43" s="60"/>
    </row>
    <row r="44" spans="1:28" ht="14.95" customHeight="1" x14ac:dyDescent="0.25">
      <c r="A44" s="64" t="str">
        <f t="shared" si="18"/>
        <v>Change Working Capital</v>
      </c>
      <c r="B44" s="105">
        <f t="shared" si="18"/>
        <v>6.1</v>
      </c>
      <c r="C44" s="105">
        <f t="shared" si="18"/>
        <v>-20.8</v>
      </c>
      <c r="D44" s="105">
        <f t="shared" si="18"/>
        <v>-132</v>
      </c>
      <c r="E44" s="105">
        <f t="shared" si="18"/>
        <v>26.7</v>
      </c>
      <c r="F44" s="105">
        <f t="shared" si="18"/>
        <v>3.2</v>
      </c>
      <c r="G44" s="100">
        <f>G45*G28</f>
        <v>52.463967254627448</v>
      </c>
      <c r="H44" s="100">
        <f t="shared" ref="H44:P44" si="27">H45*H28</f>
        <v>55.076913063771045</v>
      </c>
      <c r="I44" s="100">
        <f t="shared" si="27"/>
        <v>36.17644812199373</v>
      </c>
      <c r="J44" s="100">
        <f t="shared" si="27"/>
        <v>56.678148466553971</v>
      </c>
      <c r="K44" s="100">
        <f t="shared" si="27"/>
        <v>60.321386340121315</v>
      </c>
      <c r="L44" s="100">
        <f t="shared" si="27"/>
        <v>80.180151579672241</v>
      </c>
      <c r="M44" s="100">
        <f t="shared" si="27"/>
        <v>83.945586825012597</v>
      </c>
      <c r="N44" s="100">
        <f t="shared" si="27"/>
        <v>89.246931090115666</v>
      </c>
      <c r="O44" s="100">
        <f t="shared" si="27"/>
        <v>105.62301611075081</v>
      </c>
      <c r="P44" s="101">
        <f t="shared" si="27"/>
        <v>119.22713354583215</v>
      </c>
    </row>
    <row r="45" spans="1:28" ht="14.95" customHeight="1" x14ac:dyDescent="0.2">
      <c r="A45" s="73" t="str">
        <f t="shared" si="18"/>
        <v>% of sales</v>
      </c>
      <c r="B45" s="45">
        <f>B44/B$28</f>
        <v>4.1327913279132792E-3</v>
      </c>
      <c r="C45" s="45">
        <f>C44/C$28</f>
        <v>-1.0795660974723622E-2</v>
      </c>
      <c r="D45" s="45">
        <f t="shared" ref="D45:F45" si="28">D44/D$28</f>
        <v>-5.3910557484173983E-2</v>
      </c>
      <c r="E45" s="45">
        <f t="shared" si="28"/>
        <v>9.1758883772080548E-3</v>
      </c>
      <c r="F45" s="45">
        <f t="shared" si="28"/>
        <v>8.8341661375369244E-4</v>
      </c>
      <c r="G45" s="79">
        <f>-AVERAGE(B45:F45)</f>
        <v>1.0102824428004515E-2</v>
      </c>
      <c r="H45" s="79">
        <f>(AVERAGE(C45:G45))*-1</f>
        <v>8.9088178079862693E-3</v>
      </c>
      <c r="I45" s="79">
        <f>-AVERAGE(D45:H45)</f>
        <v>4.9679220514442903E-3</v>
      </c>
      <c r="J45" s="79">
        <f>(AVERAGE(E45:I45))</f>
        <v>6.8077738556793655E-3</v>
      </c>
      <c r="K45" s="79">
        <f>AVERAGE(F45:J45)</f>
        <v>6.3341509513736268E-3</v>
      </c>
      <c r="L45" s="79">
        <f>(AVERAGE(G45:K45))</f>
        <v>7.4242978188976145E-3</v>
      </c>
      <c r="M45" s="79">
        <f>AVERAGE(H45:L45)</f>
        <v>6.8885924970762333E-3</v>
      </c>
      <c r="N45" s="79">
        <f>(AVERAGE(I45:M45))</f>
        <v>6.4845474348942268E-3</v>
      </c>
      <c r="O45" s="79">
        <f>AVERAGE(J45:N45)</f>
        <v>6.7878725115842128E-3</v>
      </c>
      <c r="P45" s="80">
        <f>(AVERAGE(K45:O45))</f>
        <v>6.7838922427651827E-3</v>
      </c>
      <c r="Q45" t="s">
        <v>289</v>
      </c>
    </row>
    <row r="48" spans="1:28" ht="14.95" customHeight="1" x14ac:dyDescent="0.25">
      <c r="A48" s="36" t="s">
        <v>258</v>
      </c>
      <c r="F48" s="47"/>
      <c r="G48" s="81">
        <f>G31-G34+G38+G41+G44</f>
        <v>729.03941725462755</v>
      </c>
      <c r="H48" s="82">
        <f t="shared" ref="H48:P48" si="29">H31-H34+H38+H41+H44</f>
        <v>1063.8485130637707</v>
      </c>
      <c r="I48" s="82">
        <f t="shared" si="29"/>
        <v>1386.5929981219936</v>
      </c>
      <c r="J48" s="82">
        <f t="shared" si="29"/>
        <v>1460.8801829980539</v>
      </c>
      <c r="K48" s="82">
        <f t="shared" si="29"/>
        <v>1853.935306318765</v>
      </c>
      <c r="L48" s="82">
        <f t="shared" si="29"/>
        <v>2371.517228440066</v>
      </c>
      <c r="M48" s="82">
        <f t="shared" si="29"/>
        <v>3090.7174942074316</v>
      </c>
      <c r="N48" s="82">
        <f t="shared" si="29"/>
        <v>4019.5225483710533</v>
      </c>
      <c r="O48" s="82">
        <f t="shared" si="29"/>
        <v>5268.8124421904195</v>
      </c>
      <c r="P48" s="83">
        <f t="shared" si="29"/>
        <v>7033.7862500083593</v>
      </c>
    </row>
    <row r="49" spans="1:16" ht="14.95" customHeight="1" x14ac:dyDescent="0.25">
      <c r="A49" s="48" t="s">
        <v>246</v>
      </c>
      <c r="B49" s="107">
        <f>WACC!C27</f>
        <v>8.7205867676605958E-2</v>
      </c>
      <c r="N49" t="s">
        <v>257</v>
      </c>
      <c r="P49" s="84">
        <f>P48*(1+B50)/(B49-B50)</f>
        <v>115899.53127476311</v>
      </c>
    </row>
    <row r="50" spans="1:16" ht="14.95" customHeight="1" x14ac:dyDescent="0.25">
      <c r="A50" s="49" t="s">
        <v>250</v>
      </c>
      <c r="B50" s="108">
        <v>2.5000000000000001E-2</v>
      </c>
      <c r="C50" t="s">
        <v>261</v>
      </c>
    </row>
    <row r="51" spans="1:16" x14ac:dyDescent="0.2">
      <c r="P51" s="113"/>
    </row>
    <row r="52" spans="1:16" ht="14.95" customHeight="1" x14ac:dyDescent="0.2">
      <c r="A52" s="51" t="s">
        <v>251</v>
      </c>
      <c r="B52" s="52">
        <f>NPV(B49,G48,H48,I48,J48,K48,L48,M48,N48,O48,P48+P49)</f>
        <v>65893.233815873551</v>
      </c>
    </row>
    <row r="53" spans="1:16" ht="14.95" customHeight="1" x14ac:dyDescent="0.2">
      <c r="A53" s="53" t="s">
        <v>252</v>
      </c>
      <c r="B53" s="54">
        <f>BS!F12</f>
        <v>566.29999999999995</v>
      </c>
    </row>
    <row r="54" spans="1:16" ht="14.95" customHeight="1" x14ac:dyDescent="0.2">
      <c r="A54" s="53" t="s">
        <v>253</v>
      </c>
      <c r="B54" s="54">
        <f>WACC!C20</f>
        <v>2877.9</v>
      </c>
    </row>
    <row r="55" spans="1:16" ht="14.95" customHeight="1" x14ac:dyDescent="0.2">
      <c r="A55" s="49" t="s">
        <v>254</v>
      </c>
      <c r="B55" s="55">
        <f>B52+B53-B54</f>
        <v>63581.633815873553</v>
      </c>
    </row>
    <row r="57" spans="1:16" ht="14.95" customHeight="1" x14ac:dyDescent="0.2">
      <c r="A57" s="51" t="s">
        <v>256</v>
      </c>
      <c r="B57" s="56">
        <f>IS!F40</f>
        <v>385.4</v>
      </c>
    </row>
    <row r="58" spans="1:16" ht="14.95" customHeight="1" x14ac:dyDescent="0.2">
      <c r="A58" s="49" t="s">
        <v>255</v>
      </c>
      <c r="B58" s="57">
        <f>B55/B57</f>
        <v>164.97569749837456</v>
      </c>
    </row>
    <row r="59" spans="1:16" ht="14.95" customHeight="1" x14ac:dyDescent="0.2">
      <c r="B59" s="47"/>
    </row>
    <row r="60" spans="1:16" ht="14.95" customHeight="1" x14ac:dyDescent="0.2">
      <c r="A60" s="51" t="s">
        <v>279</v>
      </c>
      <c r="B60" s="94">
        <f ca="1">$B$2</f>
        <v>86.35</v>
      </c>
    </row>
    <row r="61" spans="1:16" ht="14.95" customHeight="1" x14ac:dyDescent="0.2">
      <c r="A61" s="49" t="str">
        <f ca="1">IF(B58&gt;B60,"Undervalued by","Overvalued by")</f>
        <v>Undervalued by</v>
      </c>
      <c r="B61" s="50">
        <f ca="1">IF((B58-B60)/B58&lt;0,(B58-B60)/B58*-1,(B58-B60)/B58)</f>
        <v>0.47658957465022528</v>
      </c>
    </row>
    <row r="62" spans="1:16" ht="14.95" customHeight="1" x14ac:dyDescent="0.25">
      <c r="A62" s="1" t="s">
        <v>281</v>
      </c>
      <c r="B62" s="110" t="str">
        <f ca="1">IF(B60&gt;B58,"SELL","BUY")</f>
        <v>BUY</v>
      </c>
    </row>
    <row r="64" spans="1:16" ht="14.95" customHeight="1" x14ac:dyDescent="0.25">
      <c r="A64" s="36" t="s">
        <v>259</v>
      </c>
      <c r="G64" s="81">
        <f>G48</f>
        <v>729.03941725462755</v>
      </c>
      <c r="H64" s="82">
        <f t="shared" ref="H64:P64" si="30">H48</f>
        <v>1063.8485130637707</v>
      </c>
      <c r="I64" s="82">
        <f t="shared" si="30"/>
        <v>1386.5929981219936</v>
      </c>
      <c r="J64" s="82">
        <f t="shared" si="30"/>
        <v>1460.8801829980539</v>
      </c>
      <c r="K64" s="82">
        <f t="shared" si="30"/>
        <v>1853.935306318765</v>
      </c>
      <c r="L64" s="82">
        <f t="shared" si="30"/>
        <v>2371.517228440066</v>
      </c>
      <c r="M64" s="82">
        <f t="shared" si="30"/>
        <v>3090.7174942074316</v>
      </c>
      <c r="N64" s="82">
        <f t="shared" si="30"/>
        <v>4019.5225483710533</v>
      </c>
      <c r="O64" s="82">
        <f t="shared" si="30"/>
        <v>5268.8124421904195</v>
      </c>
      <c r="P64" s="83">
        <f t="shared" si="30"/>
        <v>7033.7862500083593</v>
      </c>
    </row>
    <row r="65" spans="1:16" ht="14.95" customHeight="1" x14ac:dyDescent="0.25">
      <c r="A65" s="48" t="s">
        <v>245</v>
      </c>
      <c r="B65" s="107">
        <f>WACC!C55</f>
        <v>0.10624760301216089</v>
      </c>
      <c r="N65" t="s">
        <v>260</v>
      </c>
      <c r="P65" s="84">
        <f>P64*(1+B66)/(B65-B66)</f>
        <v>102178.43774359778</v>
      </c>
    </row>
    <row r="66" spans="1:16" ht="14.95" customHeight="1" x14ac:dyDescent="0.25">
      <c r="A66" s="49" t="s">
        <v>250</v>
      </c>
      <c r="B66" s="108">
        <v>3.5000000000000003E-2</v>
      </c>
      <c r="C66" t="s">
        <v>262</v>
      </c>
    </row>
    <row r="68" spans="1:16" ht="14.95" customHeight="1" x14ac:dyDescent="0.2">
      <c r="A68" s="51" t="s">
        <v>251</v>
      </c>
      <c r="B68" s="52">
        <f>NPV(B65,G64,H64,I64,J64,K64,L64,M64,N64,O64,P64+P65)</f>
        <v>51168.447414709997</v>
      </c>
    </row>
    <row r="69" spans="1:16" ht="14.95" customHeight="1" x14ac:dyDescent="0.2">
      <c r="A69" s="53" t="s">
        <v>252</v>
      </c>
      <c r="B69" s="59">
        <v>566.29999999999995</v>
      </c>
    </row>
    <row r="70" spans="1:16" ht="14.95" customHeight="1" x14ac:dyDescent="0.2">
      <c r="A70" s="53" t="s">
        <v>253</v>
      </c>
      <c r="B70" s="59">
        <v>2877.9</v>
      </c>
    </row>
    <row r="71" spans="1:16" ht="14.95" customHeight="1" x14ac:dyDescent="0.2">
      <c r="A71" s="49" t="str">
        <f>A55</f>
        <v>Equity value</v>
      </c>
      <c r="B71" s="55">
        <f>B68+B69-B70</f>
        <v>48856.847414709999</v>
      </c>
    </row>
    <row r="73" spans="1:16" ht="14.95" customHeight="1" x14ac:dyDescent="0.2">
      <c r="A73" s="51" t="s">
        <v>256</v>
      </c>
      <c r="B73" s="56">
        <v>385.4</v>
      </c>
    </row>
    <row r="74" spans="1:16" ht="14.95" customHeight="1" x14ac:dyDescent="0.2">
      <c r="A74" s="49" t="s">
        <v>255</v>
      </c>
      <c r="B74" s="57">
        <f>B71/B73</f>
        <v>126.76919412223664</v>
      </c>
    </row>
    <row r="75" spans="1:16" ht="14.95" customHeight="1" x14ac:dyDescent="0.2">
      <c r="B75" s="47"/>
    </row>
    <row r="76" spans="1:16" ht="14.95" customHeight="1" x14ac:dyDescent="0.2">
      <c r="A76" s="51" t="s">
        <v>279</v>
      </c>
      <c r="B76" s="94">
        <f ca="1">$B$2</f>
        <v>86.35</v>
      </c>
    </row>
    <row r="77" spans="1:16" ht="14.95" customHeight="1" x14ac:dyDescent="0.2">
      <c r="A77" s="49" t="str">
        <f ca="1">IF(B74&gt;B76,"Undervalued by","Overvalued by")</f>
        <v>Undervalued by</v>
      </c>
      <c r="B77" s="50">
        <f ca="1">IF((B74-B76)/B74&lt;0,(B74-B76)/B74*-1,(B74-B76)/B74)</f>
        <v>0.31884082250505291</v>
      </c>
    </row>
    <row r="78" spans="1:16" ht="14.95" customHeight="1" x14ac:dyDescent="0.25">
      <c r="A78" s="1" t="s">
        <v>281</v>
      </c>
      <c r="B78" s="110" t="str">
        <f ca="1">IF(B76&gt;B74,"SELL","BUY")</f>
        <v>BUY</v>
      </c>
    </row>
    <row r="80" spans="1:16" ht="14.95" customHeight="1" x14ac:dyDescent="0.25">
      <c r="A80" s="36" t="s">
        <v>263</v>
      </c>
      <c r="G80" s="81">
        <f>G48</f>
        <v>729.03941725462755</v>
      </c>
      <c r="H80" s="82">
        <f t="shared" ref="H80:P80" si="31">H48</f>
        <v>1063.8485130637707</v>
      </c>
      <c r="I80" s="82">
        <f t="shared" si="31"/>
        <v>1386.5929981219936</v>
      </c>
      <c r="J80" s="82">
        <f t="shared" si="31"/>
        <v>1460.8801829980539</v>
      </c>
      <c r="K80" s="82">
        <f t="shared" si="31"/>
        <v>1853.935306318765</v>
      </c>
      <c r="L80" s="82">
        <f t="shared" si="31"/>
        <v>2371.517228440066</v>
      </c>
      <c r="M80" s="82">
        <f t="shared" si="31"/>
        <v>3090.7174942074316</v>
      </c>
      <c r="N80" s="82">
        <f t="shared" si="31"/>
        <v>4019.5225483710533</v>
      </c>
      <c r="O80" s="82">
        <f t="shared" si="31"/>
        <v>5268.8124421904195</v>
      </c>
      <c r="P80" s="83">
        <f t="shared" si="31"/>
        <v>7033.7862500083593</v>
      </c>
    </row>
    <row r="81" spans="1:16" ht="14.95" customHeight="1" x14ac:dyDescent="0.25">
      <c r="A81" s="48" t="s">
        <v>249</v>
      </c>
      <c r="B81" s="107">
        <f>WACC!C83</f>
        <v>5.0242499084058118E-2</v>
      </c>
      <c r="N81" t="s">
        <v>264</v>
      </c>
      <c r="P81" s="84">
        <f>P80*(1+B82)/(B81-B82)</f>
        <v>202576.24258513298</v>
      </c>
    </row>
    <row r="82" spans="1:16" ht="14.95" customHeight="1" x14ac:dyDescent="0.25">
      <c r="A82" s="49" t="str">
        <f>A66</f>
        <v>Constant Growth rate</v>
      </c>
      <c r="B82" s="108">
        <v>1.4999999999999999E-2</v>
      </c>
      <c r="C82" t="s">
        <v>265</v>
      </c>
    </row>
    <row r="84" spans="1:16" ht="14.95" customHeight="1" x14ac:dyDescent="0.2">
      <c r="A84" s="51" t="s">
        <v>266</v>
      </c>
      <c r="B84" s="52">
        <f>NPV(B81,G80,H80,I80,J80,K80,L80,M80,N80,O80,P80+P81)</f>
        <v>143957.87148713655</v>
      </c>
    </row>
    <row r="85" spans="1:16" ht="14.95" customHeight="1" x14ac:dyDescent="0.2">
      <c r="A85" s="53" t="str">
        <f>A53</f>
        <v>(+) Cash</v>
      </c>
      <c r="B85" s="60">
        <f t="shared" ref="A85:B86" si="32">B53</f>
        <v>566.29999999999995</v>
      </c>
    </row>
    <row r="86" spans="1:16" ht="14.95" customHeight="1" x14ac:dyDescent="0.2">
      <c r="A86" s="53" t="str">
        <f t="shared" si="32"/>
        <v>(-) Debt</v>
      </c>
      <c r="B86" s="60">
        <f t="shared" si="32"/>
        <v>2877.9</v>
      </c>
    </row>
    <row r="87" spans="1:16" ht="14.95" customHeight="1" x14ac:dyDescent="0.2">
      <c r="A87" s="49" t="s">
        <v>267</v>
      </c>
      <c r="B87" s="55">
        <f>B84+B85-B86</f>
        <v>141646.27148713655</v>
      </c>
    </row>
    <row r="89" spans="1:16" ht="14.95" customHeight="1" x14ac:dyDescent="0.2">
      <c r="A89" s="51" t="s">
        <v>256</v>
      </c>
      <c r="B89" s="56">
        <v>385.4</v>
      </c>
    </row>
    <row r="90" spans="1:16" ht="14.95" customHeight="1" x14ac:dyDescent="0.2">
      <c r="A90" s="49" t="s">
        <v>255</v>
      </c>
      <c r="B90" s="57">
        <f>B87/B89</f>
        <v>367.53054355769734</v>
      </c>
    </row>
    <row r="92" spans="1:16" x14ac:dyDescent="0.2">
      <c r="A92" s="51" t="s">
        <v>279</v>
      </c>
      <c r="B92" s="94">
        <f ca="1">$B$2</f>
        <v>86.35</v>
      </c>
    </row>
    <row r="93" spans="1:16" x14ac:dyDescent="0.2">
      <c r="A93" s="49" t="str">
        <f ca="1">IF(B90&gt;B92,"Undervalued by","Overvalued by")</f>
        <v>Undervalued by</v>
      </c>
      <c r="B93" s="50">
        <f ca="1">IF((B90-B92)/B90&lt;0,(B90-B92)/B90*-1,(B90-B92)/B90)</f>
        <v>0.76505354041018847</v>
      </c>
    </row>
    <row r="94" spans="1:16" ht="13.6" x14ac:dyDescent="0.25">
      <c r="A94" s="1" t="s">
        <v>281</v>
      </c>
      <c r="B94" s="110" t="str">
        <f ca="1">IF(B92&gt;B90,"SELL","BUY")</f>
        <v>BUY</v>
      </c>
    </row>
    <row r="98" spans="1:10" ht="13.6" x14ac:dyDescent="0.25">
      <c r="A98" s="114"/>
      <c r="B98" s="114"/>
      <c r="C98" s="114"/>
      <c r="D98" s="114"/>
      <c r="E98" s="114"/>
      <c r="F98" s="117" t="s">
        <v>282</v>
      </c>
      <c r="G98" s="114"/>
      <c r="H98" s="114"/>
      <c r="I98" s="114"/>
      <c r="J98" s="114"/>
    </row>
    <row r="99" spans="1:10" x14ac:dyDescent="0.2">
      <c r="A99" s="114"/>
      <c r="B99" s="114"/>
      <c r="C99" s="118"/>
      <c r="D99" s="120">
        <f>0.015</f>
        <v>1.4999999999999999E-2</v>
      </c>
      <c r="E99" s="116">
        <f t="shared" ref="E99:J99" si="33">D99+0.005</f>
        <v>0.02</v>
      </c>
      <c r="F99" s="120">
        <f t="shared" si="33"/>
        <v>2.5000000000000001E-2</v>
      </c>
      <c r="G99" s="116">
        <f t="shared" si="33"/>
        <v>3.0000000000000002E-2</v>
      </c>
      <c r="H99" s="120">
        <f t="shared" si="33"/>
        <v>3.5000000000000003E-2</v>
      </c>
      <c r="I99" s="116">
        <f t="shared" si="33"/>
        <v>0.04</v>
      </c>
      <c r="J99" s="116">
        <f t="shared" si="33"/>
        <v>4.4999999999999998E-2</v>
      </c>
    </row>
    <row r="100" spans="1:10" x14ac:dyDescent="0.2">
      <c r="A100" s="114"/>
      <c r="B100" s="114"/>
      <c r="C100" s="115">
        <f>0.05</f>
        <v>0.05</v>
      </c>
      <c r="D100" s="112">
        <f t="shared" ref="D100:J109" si="34">(NPV($C100,$G$48,$H$48,$I$48,$J$48,$K$48,$L$48,$M$48,$N$48,$O$48,($P$48*(1+D$99)/($C100-D$99)+$P$48))+($B$53-$B$54))/$B$57</f>
        <v>370.59430055938878</v>
      </c>
      <c r="E100" s="112">
        <f t="shared" si="34"/>
        <v>426.61576658757889</v>
      </c>
      <c r="F100" s="112">
        <f t="shared" si="34"/>
        <v>505.04581902704484</v>
      </c>
      <c r="G100" s="112">
        <f t="shared" si="34"/>
        <v>622.69089768624406</v>
      </c>
      <c r="H100" s="112">
        <f t="shared" si="34"/>
        <v>818.76602878490917</v>
      </c>
      <c r="I100" s="112">
        <f t="shared" si="34"/>
        <v>1210.9162909822392</v>
      </c>
      <c r="J100" s="112">
        <f t="shared" si="34"/>
        <v>2387.367077574228</v>
      </c>
    </row>
    <row r="101" spans="1:10" x14ac:dyDescent="0.2">
      <c r="A101" s="114"/>
      <c r="B101" s="114"/>
      <c r="C101" s="119">
        <v>5.0200000000000002E-2</v>
      </c>
      <c r="D101" s="112">
        <f t="shared" si="34"/>
        <v>368.06436428812242</v>
      </c>
      <c r="E101" s="112">
        <f t="shared" si="34"/>
        <v>423.30386295281306</v>
      </c>
      <c r="F101" s="112">
        <f t="shared" si="34"/>
        <v>500.46379759555555</v>
      </c>
      <c r="G101" s="112">
        <f t="shared" si="34"/>
        <v>615.82171968520015</v>
      </c>
      <c r="H101" s="112">
        <f t="shared" si="34"/>
        <v>807.07301157066377</v>
      </c>
      <c r="I101" s="112">
        <f t="shared" si="34"/>
        <v>1185.8255700105028</v>
      </c>
      <c r="J101" s="112">
        <f t="shared" si="34"/>
        <v>2292.9484331423396</v>
      </c>
    </row>
    <row r="102" spans="1:10" x14ac:dyDescent="0.2">
      <c r="A102" s="114"/>
      <c r="B102" s="114"/>
      <c r="C102" s="115">
        <f>C100+0.005</f>
        <v>5.5E-2</v>
      </c>
      <c r="D102" s="112">
        <f t="shared" si="34"/>
        <v>315.09742646690387</v>
      </c>
      <c r="E102" s="112">
        <f t="shared" si="34"/>
        <v>355.3549715564908</v>
      </c>
      <c r="F102" s="112">
        <f t="shared" si="34"/>
        <v>409.03169834260677</v>
      </c>
      <c r="G102" s="112">
        <f t="shared" si="34"/>
        <v>484.17911584316914</v>
      </c>
      <c r="H102" s="112">
        <f t="shared" si="34"/>
        <v>596.9002420940127</v>
      </c>
      <c r="I102" s="112">
        <f t="shared" si="34"/>
        <v>784.76878584541862</v>
      </c>
      <c r="J102" s="112">
        <f t="shared" si="34"/>
        <v>1160.5058733482299</v>
      </c>
    </row>
    <row r="103" spans="1:10" x14ac:dyDescent="0.2">
      <c r="A103" s="114"/>
      <c r="B103" s="114"/>
      <c r="C103" s="115">
        <f t="shared" ref="C103:C108" si="35">C102+0.005</f>
        <v>0.06</v>
      </c>
      <c r="D103" s="112">
        <f t="shared" si="34"/>
        <v>272.22379801797274</v>
      </c>
      <c r="E103" s="112">
        <f t="shared" si="34"/>
        <v>302.23076966488054</v>
      </c>
      <c r="F103" s="112">
        <f t="shared" si="34"/>
        <v>340.81116178233327</v>
      </c>
      <c r="G103" s="112">
        <f t="shared" si="34"/>
        <v>392.25168460560371</v>
      </c>
      <c r="H103" s="112">
        <f t="shared" si="34"/>
        <v>464.26841655818231</v>
      </c>
      <c r="I103" s="112">
        <f t="shared" si="34"/>
        <v>572.29351448705017</v>
      </c>
      <c r="J103" s="112">
        <f t="shared" si="34"/>
        <v>752.33534436849641</v>
      </c>
    </row>
    <row r="104" spans="1:10" x14ac:dyDescent="0.2">
      <c r="A104" s="114"/>
      <c r="B104" s="114"/>
      <c r="C104" s="115">
        <f t="shared" si="35"/>
        <v>6.5000000000000002E-2</v>
      </c>
      <c r="D104" s="112">
        <f t="shared" si="34"/>
        <v>238.17466618418041</v>
      </c>
      <c r="E104" s="112">
        <f t="shared" si="34"/>
        <v>261.18476439558583</v>
      </c>
      <c r="F104" s="112">
        <f t="shared" si="34"/>
        <v>289.94738715984255</v>
      </c>
      <c r="G104" s="112">
        <f t="shared" si="34"/>
        <v>326.92790214245838</v>
      </c>
      <c r="H104" s="112">
        <f t="shared" si="34"/>
        <v>376.23525545261265</v>
      </c>
      <c r="I104" s="112">
        <f t="shared" si="34"/>
        <v>445.26555008682891</v>
      </c>
      <c r="J104" s="112">
        <f t="shared" si="34"/>
        <v>548.81099203815302</v>
      </c>
    </row>
    <row r="105" spans="1:10" x14ac:dyDescent="0.2">
      <c r="A105" s="114"/>
      <c r="B105" s="114"/>
      <c r="C105" s="115">
        <f t="shared" si="35"/>
        <v>7.0000000000000007E-2</v>
      </c>
      <c r="D105" s="112">
        <f t="shared" si="34"/>
        <v>210.53318496647231</v>
      </c>
      <c r="E105" s="112">
        <f t="shared" si="34"/>
        <v>228.58250175424402</v>
      </c>
      <c r="F105" s="112">
        <f t="shared" si="34"/>
        <v>250.64277782818718</v>
      </c>
      <c r="G105" s="112">
        <f t="shared" si="34"/>
        <v>278.21812292061617</v>
      </c>
      <c r="H105" s="112">
        <f t="shared" si="34"/>
        <v>313.67213803945333</v>
      </c>
      <c r="I105" s="112">
        <f t="shared" si="34"/>
        <v>360.94415819790305</v>
      </c>
      <c r="J105" s="112">
        <f t="shared" si="34"/>
        <v>427.12498641973252</v>
      </c>
    </row>
    <row r="106" spans="1:10" x14ac:dyDescent="0.2">
      <c r="A106" s="114"/>
      <c r="B106" s="114"/>
      <c r="C106" s="115">
        <f t="shared" si="35"/>
        <v>7.5000000000000011E-2</v>
      </c>
      <c r="D106" s="112">
        <f t="shared" si="34"/>
        <v>187.68859103617791</v>
      </c>
      <c r="E106" s="112">
        <f t="shared" si="34"/>
        <v>202.11164878053233</v>
      </c>
      <c r="F106" s="112">
        <f t="shared" si="34"/>
        <v>219.41931807375758</v>
      </c>
      <c r="G106" s="112">
        <f t="shared" si="34"/>
        <v>240.57313609881064</v>
      </c>
      <c r="H106" s="112">
        <f t="shared" si="34"/>
        <v>267.01540863012707</v>
      </c>
      <c r="I106" s="112">
        <f t="shared" si="34"/>
        <v>301.01261617039103</v>
      </c>
      <c r="J106" s="112">
        <f t="shared" si="34"/>
        <v>346.34222622407611</v>
      </c>
    </row>
    <row r="107" spans="1:10" x14ac:dyDescent="0.2">
      <c r="A107" s="114"/>
      <c r="B107" s="114"/>
      <c r="C107" s="115">
        <f t="shared" si="35"/>
        <v>8.0000000000000016E-2</v>
      </c>
      <c r="D107" s="112">
        <f t="shared" si="34"/>
        <v>168.5261481437004</v>
      </c>
      <c r="E107" s="112">
        <f t="shared" si="34"/>
        <v>180.23108442897893</v>
      </c>
      <c r="F107" s="112">
        <f t="shared" si="34"/>
        <v>194.06419094794438</v>
      </c>
      <c r="G107" s="112">
        <f t="shared" si="34"/>
        <v>210.66391877070294</v>
      </c>
      <c r="H107" s="112">
        <f t="shared" si="34"/>
        <v>230.95247499851897</v>
      </c>
      <c r="I107" s="112">
        <f t="shared" si="34"/>
        <v>256.31317028328908</v>
      </c>
      <c r="J107" s="112">
        <f t="shared" si="34"/>
        <v>288.91977850656485</v>
      </c>
    </row>
    <row r="108" spans="1:10" ht="13.1" customHeight="1" x14ac:dyDescent="0.2">
      <c r="A108" s="143" t="s">
        <v>240</v>
      </c>
      <c r="B108" s="114"/>
      <c r="C108" s="115">
        <f t="shared" si="35"/>
        <v>8.500000000000002E-2</v>
      </c>
      <c r="D108" s="112">
        <f t="shared" si="34"/>
        <v>152.24997381919184</v>
      </c>
      <c r="E108" s="112">
        <f t="shared" si="34"/>
        <v>161.87425759996296</v>
      </c>
      <c r="F108" s="112">
        <f t="shared" si="34"/>
        <v>173.10258867752913</v>
      </c>
      <c r="G108" s="112">
        <f t="shared" si="34"/>
        <v>186.37243449647104</v>
      </c>
      <c r="H108" s="112">
        <f t="shared" si="34"/>
        <v>202.29624947920135</v>
      </c>
      <c r="I108" s="112">
        <f t="shared" si="34"/>
        <v>221.7586900136495</v>
      </c>
      <c r="J108" s="112">
        <f t="shared" si="34"/>
        <v>246.08674068170967</v>
      </c>
    </row>
    <row r="109" spans="1:10" ht="13.1" customHeight="1" x14ac:dyDescent="0.2">
      <c r="A109" s="143"/>
      <c r="B109" s="114"/>
      <c r="C109" s="119">
        <f>B49</f>
        <v>8.7205867676605958E-2</v>
      </c>
      <c r="D109" s="112">
        <f t="shared" si="34"/>
        <v>145.83016173350259</v>
      </c>
      <c r="E109" s="112">
        <f t="shared" si="34"/>
        <v>154.69073228753714</v>
      </c>
      <c r="F109" s="112">
        <f t="shared" si="34"/>
        <v>164.97569749837456</v>
      </c>
      <c r="G109" s="112">
        <f t="shared" si="34"/>
        <v>177.05854911991725</v>
      </c>
      <c r="H109" s="112">
        <f t="shared" si="34"/>
        <v>191.4558631111673</v>
      </c>
      <c r="I109" s="112">
        <f t="shared" si="34"/>
        <v>208.90307634161408</v>
      </c>
      <c r="J109" s="112">
        <f t="shared" si="34"/>
        <v>230.48412550315282</v>
      </c>
    </row>
    <row r="110" spans="1:10" x14ac:dyDescent="0.2">
      <c r="A110" s="114"/>
      <c r="B110" s="114"/>
      <c r="C110" s="115">
        <f>C108+0.005</f>
        <v>9.0000000000000024E-2</v>
      </c>
      <c r="D110" s="112">
        <f t="shared" ref="D110:J123" si="36">(NPV($C110,$G$48,$H$48,$I$48,$J$48,$K$48,$L$48,$M$48,$N$48,$O$48,($P$48*(1+D$99)/($C110-D$99)+$P$48))+($B$53-$B$54))/$B$57</f>
        <v>138.2767365491618</v>
      </c>
      <c r="E110" s="112">
        <f t="shared" si="36"/>
        <v>146.27967866170695</v>
      </c>
      <c r="F110" s="112">
        <f t="shared" si="36"/>
        <v>155.5138426377205</v>
      </c>
      <c r="G110" s="112">
        <f t="shared" si="36"/>
        <v>166.28703394306973</v>
      </c>
      <c r="H110" s="112">
        <f t="shared" si="36"/>
        <v>179.01898730393694</v>
      </c>
      <c r="I110" s="112">
        <f t="shared" si="36"/>
        <v>194.29733133697769</v>
      </c>
      <c r="J110" s="112">
        <f t="shared" si="36"/>
        <v>212.97086293291625</v>
      </c>
    </row>
    <row r="111" spans="1:10" x14ac:dyDescent="0.2">
      <c r="A111" s="114"/>
      <c r="B111" s="114"/>
      <c r="C111" s="115">
        <f>C110+0.005</f>
        <v>9.5000000000000029E-2</v>
      </c>
      <c r="D111" s="112">
        <f t="shared" si="36"/>
        <v>126.1692175261708</v>
      </c>
      <c r="E111" s="112">
        <f t="shared" si="36"/>
        <v>132.88921542773727</v>
      </c>
      <c r="F111" s="112">
        <f t="shared" si="36"/>
        <v>140.56921302952756</v>
      </c>
      <c r="G111" s="112">
        <f t="shared" si="36"/>
        <v>149.43074872390099</v>
      </c>
      <c r="H111" s="112">
        <f t="shared" si="36"/>
        <v>159.76920703400327</v>
      </c>
      <c r="I111" s="112">
        <f t="shared" si="36"/>
        <v>171.98738503685144</v>
      </c>
      <c r="J111" s="112">
        <f t="shared" si="36"/>
        <v>186.64919864026925</v>
      </c>
    </row>
    <row r="112" spans="1:10" x14ac:dyDescent="0.2">
      <c r="A112" s="114"/>
      <c r="B112" s="114"/>
      <c r="C112" s="115">
        <f>C111+0.005</f>
        <v>0.10000000000000003</v>
      </c>
      <c r="D112" s="112">
        <f t="shared" si="36"/>
        <v>115.59332208635851</v>
      </c>
      <c r="E112" s="112">
        <f t="shared" si="36"/>
        <v>121.28452907674603</v>
      </c>
      <c r="F112" s="112">
        <f t="shared" si="36"/>
        <v>127.73456366585188</v>
      </c>
      <c r="G112" s="112">
        <f t="shared" si="36"/>
        <v>135.10603176768711</v>
      </c>
      <c r="H112" s="112">
        <f t="shared" si="36"/>
        <v>143.61157188518933</v>
      </c>
      <c r="I112" s="112">
        <f t="shared" si="36"/>
        <v>153.5347020222753</v>
      </c>
      <c r="J112" s="112">
        <f t="shared" si="36"/>
        <v>165.26203763883134</v>
      </c>
    </row>
    <row r="113" spans="1:11" x14ac:dyDescent="0.2">
      <c r="A113" s="114"/>
      <c r="B113" s="114"/>
      <c r="C113" s="115">
        <f>C112+0.005</f>
        <v>0.10500000000000004</v>
      </c>
      <c r="D113" s="112">
        <f t="shared" si="36"/>
        <v>106.28942145806461</v>
      </c>
      <c r="E113" s="112">
        <f t="shared" si="36"/>
        <v>111.14594527676033</v>
      </c>
      <c r="F113" s="112">
        <f t="shared" si="36"/>
        <v>116.609534572793</v>
      </c>
      <c r="G113" s="112">
        <f t="shared" si="36"/>
        <v>122.80160244163002</v>
      </c>
      <c r="H113" s="112">
        <f t="shared" si="36"/>
        <v>129.87825143458662</v>
      </c>
      <c r="I113" s="112">
        <f t="shared" si="36"/>
        <v>138.04361565722888</v>
      </c>
      <c r="J113" s="112">
        <f t="shared" si="36"/>
        <v>147.56987391697808</v>
      </c>
    </row>
    <row r="114" spans="1:11" x14ac:dyDescent="0.2">
      <c r="A114" s="114"/>
      <c r="B114" s="114"/>
      <c r="C114" s="119">
        <f>B65</f>
        <v>0.10624760301216089</v>
      </c>
      <c r="D114" s="112">
        <f t="shared" si="36"/>
        <v>104.14127359148337</v>
      </c>
      <c r="E114" s="112">
        <f t="shared" si="36"/>
        <v>108.8144037500645</v>
      </c>
      <c r="F114" s="112">
        <f t="shared" si="36"/>
        <v>114.06270535805827</v>
      </c>
      <c r="G114" s="112">
        <f t="shared" si="36"/>
        <v>119.99933045435327</v>
      </c>
      <c r="H114" s="112">
        <f t="shared" si="36"/>
        <v>126.76919412223664</v>
      </c>
      <c r="I114" s="112">
        <f t="shared" si="36"/>
        <v>134.56096097756682</v>
      </c>
      <c r="J114" s="112">
        <f t="shared" si="36"/>
        <v>143.62490281969326</v>
      </c>
    </row>
    <row r="115" spans="1:11" x14ac:dyDescent="0.2">
      <c r="A115" s="114"/>
      <c r="B115" s="114"/>
      <c r="C115" s="115">
        <f>C113+0.005</f>
        <v>0.11000000000000004</v>
      </c>
      <c r="D115" s="112">
        <f t="shared" si="36"/>
        <v>98.052745185828755</v>
      </c>
      <c r="E115" s="112">
        <f t="shared" si="36"/>
        <v>102.22503566270846</v>
      </c>
      <c r="F115" s="112">
        <f t="shared" si="36"/>
        <v>106.88818384275046</v>
      </c>
      <c r="G115" s="112">
        <f t="shared" si="36"/>
        <v>112.13422554529771</v>
      </c>
      <c r="H115" s="112">
        <f t="shared" si="36"/>
        <v>118.07973947485127</v>
      </c>
      <c r="I115" s="112">
        <f t="shared" si="36"/>
        <v>124.8746125371982</v>
      </c>
      <c r="J115" s="112">
        <f t="shared" si="36"/>
        <v>132.71485068606</v>
      </c>
    </row>
    <row r="116" spans="1:11" x14ac:dyDescent="0.2">
      <c r="A116" s="114"/>
      <c r="B116" s="114"/>
      <c r="C116" s="115">
        <f t="shared" ref="C116:C123" si="37">C115+0.005</f>
        <v>0.11500000000000005</v>
      </c>
      <c r="D116" s="112">
        <f t="shared" si="36"/>
        <v>90.719656451404958</v>
      </c>
      <c r="E116" s="112">
        <f t="shared" si="36"/>
        <v>94.325858441079433</v>
      </c>
      <c r="F116" s="112">
        <f t="shared" si="36"/>
        <v>98.332749540717728</v>
      </c>
      <c r="G116" s="112">
        <f t="shared" si="36"/>
        <v>102.81103959325465</v>
      </c>
      <c r="H116" s="112">
        <f t="shared" si="36"/>
        <v>107.84911590235866</v>
      </c>
      <c r="I116" s="112">
        <f t="shared" si="36"/>
        <v>113.55893571934328</v>
      </c>
      <c r="J116" s="112">
        <f t="shared" si="36"/>
        <v>120.08444408161134</v>
      </c>
    </row>
    <row r="117" spans="1:11" x14ac:dyDescent="0.2">
      <c r="A117" s="114"/>
      <c r="B117" s="114"/>
      <c r="C117" s="115">
        <f t="shared" si="37"/>
        <v>0.12000000000000005</v>
      </c>
      <c r="D117" s="112">
        <f t="shared" si="36"/>
        <v>84.157849288821367</v>
      </c>
      <c r="E117" s="112">
        <f t="shared" si="36"/>
        <v>87.291827388668878</v>
      </c>
      <c r="F117" s="112">
        <f t="shared" si="36"/>
        <v>90.755697920079299</v>
      </c>
      <c r="G117" s="112">
        <f t="shared" si="36"/>
        <v>94.604442954979802</v>
      </c>
      <c r="H117" s="112">
        <f t="shared" si="36"/>
        <v>98.905981523397969</v>
      </c>
      <c r="I117" s="112">
        <f t="shared" si="36"/>
        <v>103.74521241286845</v>
      </c>
      <c r="J117" s="112">
        <f t="shared" si="36"/>
        <v>109.22967408760161</v>
      </c>
    </row>
    <row r="118" spans="1:11" x14ac:dyDescent="0.2">
      <c r="A118" s="114"/>
      <c r="B118" s="114"/>
      <c r="C118" s="115">
        <f t="shared" si="37"/>
        <v>0.12500000000000006</v>
      </c>
      <c r="D118" s="112">
        <f t="shared" si="36"/>
        <v>78.259219784905355</v>
      </c>
      <c r="E118" s="112">
        <f t="shared" si="36"/>
        <v>80.996333079832439</v>
      </c>
      <c r="F118" s="112">
        <f t="shared" si="36"/>
        <v>84.007157704252251</v>
      </c>
      <c r="G118" s="112">
        <f t="shared" si="36"/>
        <v>87.334911236505732</v>
      </c>
      <c r="H118" s="112">
        <f t="shared" si="36"/>
        <v>91.032415161231796</v>
      </c>
      <c r="I118" s="112">
        <f t="shared" si="36"/>
        <v>95.164919547690388</v>
      </c>
      <c r="J118" s="112">
        <f t="shared" si="36"/>
        <v>99.813986982456242</v>
      </c>
    </row>
    <row r="119" spans="1:11" x14ac:dyDescent="0.2">
      <c r="A119" s="114"/>
      <c r="B119" s="114"/>
      <c r="C119" s="115">
        <f t="shared" si="37"/>
        <v>0.13000000000000006</v>
      </c>
      <c r="D119" s="112">
        <f t="shared" si="36"/>
        <v>72.934597413965761</v>
      </c>
      <c r="E119" s="112">
        <f t="shared" si="36"/>
        <v>75.335922420870247</v>
      </c>
      <c r="F119" s="112">
        <f t="shared" si="36"/>
        <v>77.96594504747992</v>
      </c>
      <c r="G119" s="112">
        <f t="shared" si="36"/>
        <v>80.858969936750555</v>
      </c>
      <c r="H119" s="112">
        <f t="shared" si="36"/>
        <v>84.056523761733885</v>
      </c>
      <c r="I119" s="112">
        <f t="shared" si="36"/>
        <v>87.609361345048725</v>
      </c>
      <c r="J119" s="112">
        <f t="shared" si="36"/>
        <v>91.580179820518211</v>
      </c>
    </row>
    <row r="120" spans="1:11" x14ac:dyDescent="0.2">
      <c r="A120" s="114"/>
      <c r="B120" s="114"/>
      <c r="C120" s="115">
        <f t="shared" si="37"/>
        <v>0.13500000000000006</v>
      </c>
      <c r="D120" s="112">
        <f t="shared" si="36"/>
        <v>68.109793940990343</v>
      </c>
      <c r="E120" s="112">
        <f t="shared" si="36"/>
        <v>70.225257849114314</v>
      </c>
      <c r="F120" s="112">
        <f t="shared" si="36"/>
        <v>72.533036657976766</v>
      </c>
      <c r="G120" s="112">
        <f t="shared" si="36"/>
        <v>75.060603924826182</v>
      </c>
      <c r="H120" s="112">
        <f t="shared" si="36"/>
        <v>77.840927918360507</v>
      </c>
      <c r="I120" s="112">
        <f t="shared" si="36"/>
        <v>80.913917595424763</v>
      </c>
      <c r="J120" s="112">
        <f t="shared" si="36"/>
        <v>84.328350569940611</v>
      </c>
    </row>
    <row r="121" spans="1:11" x14ac:dyDescent="0.2">
      <c r="A121" s="114"/>
      <c r="B121" s="114"/>
      <c r="C121" s="115">
        <f t="shared" si="37"/>
        <v>0.14000000000000007</v>
      </c>
      <c r="D121" s="112">
        <f t="shared" si="36"/>
        <v>63.722600950400413</v>
      </c>
      <c r="E121" s="112">
        <f t="shared" si="36"/>
        <v>65.593337103485993</v>
      </c>
      <c r="F121" s="112">
        <f t="shared" si="36"/>
        <v>67.62674596553552</v>
      </c>
      <c r="G121" s="112">
        <f t="shared" si="36"/>
        <v>69.845010178680482</v>
      </c>
      <c r="H121" s="112">
        <f t="shared" si="36"/>
        <v>72.274537650220196</v>
      </c>
      <c r="I121" s="112">
        <f t="shared" si="36"/>
        <v>74.947017868913875</v>
      </c>
      <c r="J121" s="112">
        <f t="shared" si="36"/>
        <v>77.900811794838489</v>
      </c>
    </row>
    <row r="122" spans="1:11" x14ac:dyDescent="0.2">
      <c r="A122" s="114"/>
      <c r="B122" s="114"/>
      <c r="C122" s="115">
        <f t="shared" si="37"/>
        <v>0.14500000000000007</v>
      </c>
      <c r="D122" s="112">
        <f t="shared" si="36"/>
        <v>59.720480579828276</v>
      </c>
      <c r="E122" s="112">
        <f t="shared" si="36"/>
        <v>61.380620584674432</v>
      </c>
      <c r="F122" s="112">
        <f t="shared" si="36"/>
        <v>63.179105589924433</v>
      </c>
      <c r="G122" s="112">
        <f t="shared" si="36"/>
        <v>65.133980595630959</v>
      </c>
      <c r="H122" s="112">
        <f t="shared" si="36"/>
        <v>67.266571510947159</v>
      </c>
      <c r="I122" s="112">
        <f t="shared" si="36"/>
        <v>69.602266322960133</v>
      </c>
      <c r="J122" s="112">
        <f t="shared" si="36"/>
        <v>72.171530616174394</v>
      </c>
    </row>
    <row r="123" spans="1:11" x14ac:dyDescent="0.2">
      <c r="A123" s="114"/>
      <c r="B123" s="114"/>
      <c r="C123" s="115">
        <f t="shared" si="37"/>
        <v>0.15000000000000008</v>
      </c>
      <c r="D123" s="112">
        <f t="shared" si="36"/>
        <v>56.05876971988306</v>
      </c>
      <c r="E123" s="112">
        <f t="shared" si="36"/>
        <v>57.536821934256253</v>
      </c>
      <c r="F123" s="112">
        <f t="shared" si="36"/>
        <v>59.1331183257793</v>
      </c>
      <c r="G123" s="112">
        <f t="shared" si="36"/>
        <v>60.862439416595926</v>
      </c>
      <c r="H123" s="112">
        <f t="shared" si="36"/>
        <v>62.742136254440069</v>
      </c>
      <c r="I123" s="112">
        <f t="shared" si="36"/>
        <v>64.792714622997337</v>
      </c>
      <c r="J123" s="112">
        <f t="shared" si="36"/>
        <v>67.038586169512442</v>
      </c>
    </row>
    <row r="125" spans="1:11" ht="27.2" x14ac:dyDescent="0.3">
      <c r="A125" s="134"/>
      <c r="D125" s="131" t="s">
        <v>286</v>
      </c>
      <c r="E125" s="122" t="s">
        <v>284</v>
      </c>
      <c r="H125" s="122" t="s">
        <v>283</v>
      </c>
      <c r="I125" s="122" t="s">
        <v>284</v>
      </c>
    </row>
    <row r="126" spans="1:11" x14ac:dyDescent="0.2">
      <c r="A126" t="s">
        <v>288</v>
      </c>
      <c r="D126" s="122"/>
      <c r="E126" s="123">
        <f>B74</f>
        <v>126.76919412223664</v>
      </c>
      <c r="H126" s="122"/>
      <c r="I126" s="123">
        <f>B74</f>
        <v>126.76919412223664</v>
      </c>
      <c r="K126" t="s">
        <v>285</v>
      </c>
    </row>
    <row r="127" spans="1:11" x14ac:dyDescent="0.2">
      <c r="D127" s="124">
        <v>0</v>
      </c>
      <c r="E127" s="125">
        <f t="dataTable" ref="E127:E136" dt2D="0" dtr="0" r1="B66" ca="1"/>
        <v>92.760886740911516</v>
      </c>
      <c r="H127" s="124">
        <v>0.05</v>
      </c>
      <c r="I127" s="125">
        <f t="dataTable" ref="I127:I139" dt2D="0" dtr="0" r1="B65"/>
        <v>818.76602878490894</v>
      </c>
    </row>
    <row r="128" spans="1:11" x14ac:dyDescent="0.2">
      <c r="D128" s="124">
        <v>5.0000000000000001E-3</v>
      </c>
      <c r="E128" s="125">
        <v>96.179677212889644</v>
      </c>
      <c r="H128" s="124">
        <v>5.5E-2</v>
      </c>
      <c r="I128" s="125">
        <v>596.9002420940127</v>
      </c>
    </row>
    <row r="129" spans="4:9" x14ac:dyDescent="0.2">
      <c r="D129" s="126">
        <v>0.01</v>
      </c>
      <c r="E129" s="125">
        <v>99.953675540958073</v>
      </c>
      <c r="H129" s="126">
        <v>0.06</v>
      </c>
      <c r="I129" s="125">
        <v>464.26841655818231</v>
      </c>
    </row>
    <row r="130" spans="4:9" x14ac:dyDescent="0.2">
      <c r="D130" s="124">
        <v>1.4999999999999999E-2</v>
      </c>
      <c r="E130" s="125">
        <v>104.14127359148337</v>
      </c>
      <c r="H130" s="124">
        <v>6.5000000000000002E-2</v>
      </c>
      <c r="I130" s="125">
        <v>376.23525545261265</v>
      </c>
    </row>
    <row r="131" spans="4:9" x14ac:dyDescent="0.2">
      <c r="D131" s="126">
        <v>0.02</v>
      </c>
      <c r="E131" s="125">
        <v>108.8144037500645</v>
      </c>
      <c r="H131" s="124">
        <v>7.0000000000000007E-2</v>
      </c>
      <c r="I131" s="125">
        <v>313.67213803945339</v>
      </c>
    </row>
    <row r="132" spans="4:9" x14ac:dyDescent="0.2">
      <c r="D132" s="124">
        <v>2.5000000000000001E-2</v>
      </c>
      <c r="E132" s="125">
        <v>114.06270535805827</v>
      </c>
      <c r="H132" s="124">
        <v>7.4999999999999997E-2</v>
      </c>
      <c r="I132" s="125">
        <v>267.01540863012718</v>
      </c>
    </row>
    <row r="133" spans="4:9" x14ac:dyDescent="0.2">
      <c r="D133" s="126">
        <v>0.03</v>
      </c>
      <c r="E133" s="125">
        <v>119.99933045435327</v>
      </c>
      <c r="H133" s="124">
        <v>0.08</v>
      </c>
      <c r="I133" s="125">
        <v>230.95247499851908</v>
      </c>
    </row>
    <row r="134" spans="4:9" x14ac:dyDescent="0.2">
      <c r="D134" s="124">
        <v>3.5000000000000003E-2</v>
      </c>
      <c r="E134" s="125">
        <v>126.76919412223664</v>
      </c>
      <c r="H134" s="124">
        <v>8.5000000000000006E-2</v>
      </c>
      <c r="I134" s="125">
        <v>202.29624947920144</v>
      </c>
    </row>
    <row r="135" spans="4:9" x14ac:dyDescent="0.2">
      <c r="D135" s="126">
        <v>0.04</v>
      </c>
      <c r="E135" s="125">
        <v>134.56096097756682</v>
      </c>
      <c r="H135" s="124">
        <v>0.09</v>
      </c>
      <c r="I135" s="125">
        <v>179.01898730393705</v>
      </c>
    </row>
    <row r="136" spans="4:9" x14ac:dyDescent="0.2">
      <c r="D136" s="124">
        <v>4.4999999999999998E-2</v>
      </c>
      <c r="E136" s="125">
        <v>143.62490281969326</v>
      </c>
      <c r="H136" s="124">
        <v>9.5000000000000001E-2</v>
      </c>
      <c r="I136" s="125">
        <v>159.7692070340033</v>
      </c>
    </row>
    <row r="137" spans="4:9" x14ac:dyDescent="0.2">
      <c r="H137" s="124">
        <v>0.1</v>
      </c>
      <c r="I137" s="125">
        <v>143.61157188518939</v>
      </c>
    </row>
    <row r="138" spans="4:9" x14ac:dyDescent="0.2">
      <c r="H138" s="124">
        <v>0.105</v>
      </c>
      <c r="I138" s="125">
        <v>129.87825143458667</v>
      </c>
    </row>
    <row r="139" spans="4:9" x14ac:dyDescent="0.2">
      <c r="H139" s="124">
        <v>0.10619999999999999</v>
      </c>
      <c r="I139" s="125">
        <v>126.8856987614288</v>
      </c>
    </row>
    <row r="145" spans="1:9" ht="25.85" x14ac:dyDescent="0.2">
      <c r="D145" s="131" t="s">
        <v>286</v>
      </c>
      <c r="E145" s="122" t="s">
        <v>284</v>
      </c>
      <c r="H145" s="122" t="s">
        <v>283</v>
      </c>
      <c r="I145" s="122" t="s">
        <v>284</v>
      </c>
    </row>
    <row r="146" spans="1:9" x14ac:dyDescent="0.2">
      <c r="A146" t="s">
        <v>293</v>
      </c>
      <c r="D146" s="122"/>
      <c r="E146" s="123">
        <f>B90</f>
        <v>367.53054355769734</v>
      </c>
      <c r="H146" s="122"/>
      <c r="I146" s="123">
        <f>B90</f>
        <v>367.53054355769734</v>
      </c>
    </row>
    <row r="147" spans="1:9" x14ac:dyDescent="0.2">
      <c r="D147" s="124">
        <v>0</v>
      </c>
      <c r="E147" s="125">
        <f t="dataTable" ref="E147:E156" dt2D="0" dtr="0" r1="B82" ca="1"/>
        <v>268.07603204180708</v>
      </c>
      <c r="H147" s="124">
        <v>0.05</v>
      </c>
      <c r="I147" s="125">
        <f t="dataTable" ref="I147:I159" dt2D="0" dtr="0" r1="B81"/>
        <v>370.59430055938878</v>
      </c>
    </row>
    <row r="148" spans="1:9" x14ac:dyDescent="0.2">
      <c r="D148" s="124">
        <v>5.0000000000000001E-3</v>
      </c>
      <c r="E148" s="125">
        <v>293.90002203620043</v>
      </c>
      <c r="H148" s="124">
        <v>5.0200000000000002E-2</v>
      </c>
      <c r="I148" s="125">
        <v>368.06436428812242</v>
      </c>
    </row>
    <row r="149" spans="1:9" x14ac:dyDescent="0.2">
      <c r="D149" s="126">
        <v>0.01</v>
      </c>
      <c r="E149" s="125">
        <v>326.14110604368017</v>
      </c>
      <c r="H149" s="126">
        <v>5.5E-2</v>
      </c>
      <c r="I149" s="125">
        <v>315.09742646690393</v>
      </c>
    </row>
    <row r="150" spans="1:9" x14ac:dyDescent="0.2">
      <c r="D150" s="124">
        <v>1.4999999999999999E-2</v>
      </c>
      <c r="E150" s="125">
        <v>367.53054355769734</v>
      </c>
      <c r="H150" s="124">
        <v>0.06</v>
      </c>
      <c r="I150" s="125">
        <v>272.2237980179728</v>
      </c>
    </row>
    <row r="151" spans="1:9" x14ac:dyDescent="0.2">
      <c r="D151" s="126">
        <v>0.02</v>
      </c>
      <c r="E151" s="125">
        <v>422.60583335494596</v>
      </c>
      <c r="H151" s="124">
        <v>6.5000000000000002E-2</v>
      </c>
      <c r="I151" s="125">
        <v>238.17466618418044</v>
      </c>
    </row>
    <row r="152" spans="1:9" x14ac:dyDescent="0.2">
      <c r="D152" s="124">
        <v>2.5000000000000001E-2</v>
      </c>
      <c r="E152" s="125">
        <v>499.49960063885163</v>
      </c>
      <c r="H152" s="124">
        <v>7.0000000000000007E-2</v>
      </c>
      <c r="I152" s="125">
        <v>210.53318496647236</v>
      </c>
    </row>
    <row r="153" spans="1:9" x14ac:dyDescent="0.2">
      <c r="D153" s="126">
        <v>0.03</v>
      </c>
      <c r="E153" s="125">
        <v>614.37966939897319</v>
      </c>
      <c r="H153" s="124">
        <v>7.4999999999999997E-2</v>
      </c>
      <c r="I153" s="125">
        <v>187.68859103617797</v>
      </c>
    </row>
    <row r="154" spans="1:9" x14ac:dyDescent="0.2">
      <c r="D154" s="124">
        <v>3.5000000000000003E-2</v>
      </c>
      <c r="E154" s="125">
        <v>804.62800167453929</v>
      </c>
      <c r="H154" s="124">
        <v>0.08</v>
      </c>
      <c r="I154" s="125">
        <v>168.5261481437004</v>
      </c>
    </row>
    <row r="155" spans="1:9" x14ac:dyDescent="0.2">
      <c r="D155" s="126">
        <v>0.04</v>
      </c>
      <c r="E155" s="125">
        <v>1180.6203898823899</v>
      </c>
      <c r="H155" s="124">
        <v>8.5000000000000006E-2</v>
      </c>
      <c r="I155" s="125">
        <v>152.24997381919187</v>
      </c>
    </row>
    <row r="156" spans="1:9" x14ac:dyDescent="0.2">
      <c r="D156" s="124">
        <v>4.4999999999999998E-2</v>
      </c>
      <c r="E156" s="125">
        <v>2273.8134531484448</v>
      </c>
      <c r="H156" s="124">
        <v>0.09</v>
      </c>
      <c r="I156" s="125">
        <v>138.27673654916182</v>
      </c>
    </row>
    <row r="157" spans="1:9" x14ac:dyDescent="0.2">
      <c r="H157" s="124">
        <v>9.5000000000000001E-2</v>
      </c>
      <c r="I157" s="125">
        <v>126.16921752617083</v>
      </c>
    </row>
    <row r="158" spans="1:9" x14ac:dyDescent="0.2">
      <c r="H158" s="124">
        <v>0.1</v>
      </c>
      <c r="I158" s="125">
        <v>115.59332208635853</v>
      </c>
    </row>
    <row r="159" spans="1:9" x14ac:dyDescent="0.2">
      <c r="H159" s="124">
        <v>0.105</v>
      </c>
      <c r="I159" s="125">
        <v>106.28942145806465</v>
      </c>
    </row>
    <row r="163" spans="1:9" ht="25.85" x14ac:dyDescent="0.2">
      <c r="D163" s="131" t="s">
        <v>286</v>
      </c>
      <c r="E163" s="122" t="s">
        <v>284</v>
      </c>
      <c r="H163" s="122" t="s">
        <v>283</v>
      </c>
      <c r="I163" s="122" t="s">
        <v>284</v>
      </c>
    </row>
    <row r="164" spans="1:9" x14ac:dyDescent="0.2">
      <c r="A164" t="s">
        <v>292</v>
      </c>
      <c r="D164" s="122"/>
      <c r="E164" s="123">
        <f>B58</f>
        <v>164.97569749837456</v>
      </c>
      <c r="H164" s="122"/>
      <c r="I164" s="123">
        <f>B58</f>
        <v>164.97569749837456</v>
      </c>
    </row>
    <row r="165" spans="1:9" x14ac:dyDescent="0.2">
      <c r="D165" s="124">
        <v>0</v>
      </c>
      <c r="E165" s="125">
        <f t="dataTable" ref="E165:E174" dt2D="0" dtr="0" r1="B50" ca="1"/>
        <v>125.34476270959881</v>
      </c>
      <c r="H165" s="124">
        <v>0.05</v>
      </c>
      <c r="I165" s="125">
        <f t="dataTable" ref="I165:I177" dt2D="0" dtr="0" r1="B49"/>
        <v>505.04581902704484</v>
      </c>
    </row>
    <row r="166" spans="1:9" x14ac:dyDescent="0.2">
      <c r="D166" s="124">
        <v>5.0000000000000001E-3</v>
      </c>
      <c r="E166" s="125">
        <v>131.34257467861556</v>
      </c>
      <c r="H166" s="124">
        <v>5.5E-2</v>
      </c>
      <c r="I166" s="125">
        <v>409.03169834260677</v>
      </c>
    </row>
    <row r="167" spans="1:9" x14ac:dyDescent="0.2">
      <c r="D167" s="126">
        <v>0.01</v>
      </c>
      <c r="E167" s="125">
        <v>138.11724625034284</v>
      </c>
      <c r="H167" s="124">
        <v>0.06</v>
      </c>
      <c r="I167" s="125">
        <v>340.81116178233327</v>
      </c>
    </row>
    <row r="168" spans="1:9" x14ac:dyDescent="0.2">
      <c r="D168" s="124">
        <v>1.4999999999999999E-2</v>
      </c>
      <c r="E168" s="125">
        <v>145.83016173350259</v>
      </c>
      <c r="H168" s="124">
        <v>6.5000000000000002E-2</v>
      </c>
      <c r="I168" s="125">
        <v>289.94738715984261</v>
      </c>
    </row>
    <row r="169" spans="1:9" x14ac:dyDescent="0.2">
      <c r="D169" s="126">
        <v>0.02</v>
      </c>
      <c r="E169" s="125">
        <v>154.69073228753714</v>
      </c>
      <c r="H169" s="124">
        <v>7.0000000000000007E-2</v>
      </c>
      <c r="I169" s="125">
        <v>250.64277782818721</v>
      </c>
    </row>
    <row r="170" spans="1:9" x14ac:dyDescent="0.2">
      <c r="D170" s="124">
        <v>2.5000000000000001E-2</v>
      </c>
      <c r="E170" s="125">
        <v>164.97569749837456</v>
      </c>
      <c r="H170" s="124">
        <v>7.4999999999999997E-2</v>
      </c>
      <c r="I170" s="125">
        <v>219.41931807375769</v>
      </c>
    </row>
    <row r="171" spans="1:9" x14ac:dyDescent="0.2">
      <c r="D171" s="126">
        <v>0.03</v>
      </c>
      <c r="E171" s="125">
        <v>177.0585491199173</v>
      </c>
      <c r="H171" s="124">
        <v>0.08</v>
      </c>
      <c r="I171" s="125">
        <v>194.06419094794444</v>
      </c>
    </row>
    <row r="172" spans="1:9" x14ac:dyDescent="0.2">
      <c r="D172" s="124">
        <v>3.5000000000000003E-2</v>
      </c>
      <c r="E172" s="125">
        <v>191.45586311116733</v>
      </c>
      <c r="H172" s="124">
        <v>8.5000000000000006E-2</v>
      </c>
      <c r="I172" s="125">
        <v>173.10258867752921</v>
      </c>
    </row>
    <row r="173" spans="1:9" x14ac:dyDescent="0.2">
      <c r="D173" s="126">
        <v>0.04</v>
      </c>
      <c r="E173" s="125">
        <v>208.90307634161414</v>
      </c>
      <c r="H173" s="124">
        <v>0.09</v>
      </c>
      <c r="I173" s="125">
        <v>155.51384263772056</v>
      </c>
    </row>
    <row r="174" spans="1:9" x14ac:dyDescent="0.2">
      <c r="D174" s="124">
        <v>4.4999999999999998E-2</v>
      </c>
      <c r="E174" s="125">
        <v>230.48412550315288</v>
      </c>
      <c r="H174" s="124">
        <v>9.1700000000000004E-2</v>
      </c>
      <c r="I174" s="125">
        <v>150.16610474203759</v>
      </c>
    </row>
    <row r="175" spans="1:9" x14ac:dyDescent="0.2">
      <c r="H175" s="124">
        <v>9.5000000000000001E-2</v>
      </c>
      <c r="I175" s="125">
        <v>140.56921302952759</v>
      </c>
    </row>
    <row r="176" spans="1:9" x14ac:dyDescent="0.2">
      <c r="H176" s="124">
        <v>0.1</v>
      </c>
      <c r="I176" s="125">
        <v>127.73456366585191</v>
      </c>
    </row>
    <row r="177" spans="8:9" x14ac:dyDescent="0.2">
      <c r="H177" s="124">
        <v>0.105</v>
      </c>
      <c r="I177" s="125">
        <v>116.60953457279304</v>
      </c>
    </row>
  </sheetData>
  <mergeCells count="3">
    <mergeCell ref="Q32:AB33"/>
    <mergeCell ref="A108:A109"/>
    <mergeCell ref="C2:D2"/>
  </mergeCells>
  <conditionalFormatting sqref="B62 B78 B94">
    <cfRule type="containsText" dxfId="3" priority="16" operator="containsText" text="BUY">
      <formula>NOT(ISERROR(SEARCH("BUY",B62)))</formula>
    </cfRule>
    <cfRule type="containsText" dxfId="2" priority="17" operator="containsText" text="SELL">
      <formula>NOT(ISERROR(SEARCH("SELL",B62)))</formula>
    </cfRule>
  </conditionalFormatting>
  <conditionalFormatting sqref="B94 B78 B62">
    <cfRule type="colorScale" priority="18">
      <colorScale>
        <cfvo type="min"/>
        <cfvo type="max"/>
        <color rgb="FFFF0000"/>
        <color rgb="FF00B050"/>
      </colorScale>
    </cfRule>
  </conditionalFormatting>
  <conditionalFormatting sqref="D100:J123">
    <cfRule type="colorScale" priority="1">
      <colorScale>
        <cfvo type="formula" val="$B$2/3"/>
        <cfvo type="formula" val="$B$2"/>
        <cfvo type="formula" val="$B$2*2"/>
        <color rgb="FFFF0000"/>
        <color rgb="FFFFFF00"/>
        <color rgb="FF00B050"/>
      </colorScale>
    </cfRule>
    <cfRule type="colorScale" priority="2">
      <colorScale>
        <cfvo type="formula" val="$B$2/2"/>
        <cfvo type="formula" val="$B$2"/>
        <cfvo type="formula" val="$B$2*2"/>
        <color rgb="FFFF0000"/>
        <color rgb="FFFFFF00"/>
        <color rgb="FF00B050"/>
      </colorScale>
    </cfRule>
    <cfRule type="colorScale" priority="3">
      <colorScale>
        <cfvo type="formula" val="$B$2*0.75"/>
        <cfvo type="formula" val="$B$2"/>
        <cfvo type="formula" val="$B$2*1.25"/>
        <color rgb="FFFF0000"/>
        <color rgb="FFFFFF00"/>
        <color rgb="FF00B050"/>
      </colorScale>
    </cfRule>
    <cfRule type="colorScale" priority="4">
      <colorScale>
        <cfvo type="percentile" val="10"/>
        <cfvo type="percentile" val="50"/>
        <cfvo type="percentile" val="90"/>
        <color rgb="FFF8696B"/>
        <color rgb="FFFFEB84"/>
        <color rgb="FF63BE7B"/>
      </colorScale>
    </cfRule>
  </conditionalFormatting>
  <conditionalFormatting sqref="I165:I177 I147:I159 I127:I139 E165:E174 E147:E156 E127:E136">
    <cfRule type="colorScale" priority="5">
      <colorScale>
        <cfvo type="formula" val="$B$2/1.5"/>
        <cfvo type="formula" val="$B$2"/>
        <cfvo type="formula" val="$B$2*1.5"/>
        <color rgb="FFFF0000"/>
        <color rgb="FFFFFF00"/>
        <color rgb="FF00B050"/>
      </colorScale>
    </cfRule>
    <cfRule type="colorScale" priority="6">
      <colorScale>
        <cfvo type="num" val="120"/>
        <cfvo type="num" val="140"/>
        <cfvo type="num" val="190"/>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99D44-5113-2643-8700-F9E0252D69A1}">
  <dimension ref="A1:AI180"/>
  <sheetViews>
    <sheetView showGridLines="0" topLeftCell="A130" zoomScale="75" zoomScaleNormal="100" workbookViewId="0">
      <selection activeCell="H115" sqref="H115"/>
    </sheetView>
  </sheetViews>
  <sheetFormatPr defaultColWidth="12.875" defaultRowHeight="12.9" x14ac:dyDescent="0.2"/>
  <cols>
    <col min="1" max="1" width="40.375" customWidth="1"/>
  </cols>
  <sheetData>
    <row r="1" spans="1:9" ht="14.95" customHeight="1" x14ac:dyDescent="0.25">
      <c r="A1" s="1" t="s">
        <v>0</v>
      </c>
      <c r="B1" s="29" t="s">
        <v>175</v>
      </c>
    </row>
    <row r="2" spans="1:9" x14ac:dyDescent="0.2">
      <c r="A2" s="29" t="s">
        <v>280</v>
      </c>
      <c r="B2" s="4">
        <f ca="1">'DCF - Aggressive'!B2</f>
        <v>86.35</v>
      </c>
      <c r="C2" s="144"/>
      <c r="D2" s="144"/>
    </row>
    <row r="3" spans="1:9" ht="14.95" customHeight="1" x14ac:dyDescent="0.25">
      <c r="A3" s="61" t="s">
        <v>168</v>
      </c>
      <c r="B3" s="62" t="str">
        <f>IS!B8</f>
        <v>DEC '19</v>
      </c>
      <c r="C3" s="62" t="str">
        <f>IS!C8</f>
        <v>DEC '20</v>
      </c>
      <c r="D3" s="62" t="str">
        <f>IS!D8</f>
        <v>DEC '21</v>
      </c>
      <c r="E3" s="62" t="str">
        <f>IS!E8</f>
        <v>DEC '22</v>
      </c>
      <c r="F3" s="63" t="str">
        <f>IS!F8</f>
        <v>DEC '23</v>
      </c>
    </row>
    <row r="4" spans="1:9" ht="14.95" customHeight="1" x14ac:dyDescent="0.25">
      <c r="A4" s="64" t="str">
        <f>IS!A9</f>
        <v>Sales</v>
      </c>
      <c r="B4" s="65">
        <f>IS!B9</f>
        <v>1476</v>
      </c>
      <c r="C4" s="65">
        <f>IS!C9</f>
        <v>1926.7</v>
      </c>
      <c r="D4" s="65">
        <f>IS!D9</f>
        <v>2448.5</v>
      </c>
      <c r="E4" s="65">
        <f>IS!E9</f>
        <v>2909.8</v>
      </c>
      <c r="F4" s="66">
        <f>IS!F9</f>
        <v>3622.3</v>
      </c>
    </row>
    <row r="5" spans="1:9" ht="14.95" customHeight="1" x14ac:dyDescent="0.2">
      <c r="A5" s="67" t="s">
        <v>171</v>
      </c>
      <c r="B5" s="68">
        <f t="shared" ref="B5:F5" si="0">B29</f>
        <v>0.43078712679333087</v>
      </c>
      <c r="C5" s="68">
        <f t="shared" si="0"/>
        <v>0.30535230352303527</v>
      </c>
      <c r="D5" s="68">
        <f t="shared" si="0"/>
        <v>0.27082576426013388</v>
      </c>
      <c r="E5" s="68">
        <f t="shared" si="0"/>
        <v>0.18840106187461719</v>
      </c>
      <c r="F5" s="69">
        <f t="shared" si="0"/>
        <v>0.24486218984122618</v>
      </c>
    </row>
    <row r="6" spans="1:9" ht="14.95" customHeight="1" x14ac:dyDescent="0.25">
      <c r="A6" s="70"/>
      <c r="F6" s="60"/>
    </row>
    <row r="7" spans="1:9" ht="14.95" customHeight="1" x14ac:dyDescent="0.25">
      <c r="A7" s="64" t="str">
        <f>IS!A19</f>
        <v>EBIT</v>
      </c>
      <c r="B7" s="65">
        <f>IS!B19</f>
        <v>142.30000000000001</v>
      </c>
      <c r="C7" s="65">
        <f>IS!C19</f>
        <v>299.5</v>
      </c>
      <c r="D7" s="65">
        <f>IS!D19</f>
        <v>265.8</v>
      </c>
      <c r="E7" s="65">
        <f>IS!E19</f>
        <v>391.2</v>
      </c>
      <c r="F7" s="66">
        <f>IS!F19</f>
        <v>597.70000000000005</v>
      </c>
    </row>
    <row r="8" spans="1:9" ht="14.95" customHeight="1" x14ac:dyDescent="0.2">
      <c r="A8" s="67" t="s">
        <v>170</v>
      </c>
      <c r="B8" s="71">
        <f>B7/B4</f>
        <v>9.6409214092140927E-2</v>
      </c>
      <c r="C8" s="71">
        <f t="shared" ref="C8:F8" si="1">C7/C4</f>
        <v>0.1554471375927752</v>
      </c>
      <c r="D8" s="71">
        <f t="shared" si="1"/>
        <v>0.10855625893404125</v>
      </c>
      <c r="E8" s="71">
        <f t="shared" si="1"/>
        <v>0.13444222970650901</v>
      </c>
      <c r="F8" s="72">
        <f t="shared" si="1"/>
        <v>0.16500565938768186</v>
      </c>
    </row>
    <row r="9" spans="1:9" ht="14.95" customHeight="1" x14ac:dyDescent="0.25">
      <c r="A9" s="70"/>
      <c r="F9" s="60"/>
    </row>
    <row r="10" spans="1:9" ht="14.95" customHeight="1" x14ac:dyDescent="0.25">
      <c r="A10" s="64" t="s">
        <v>169</v>
      </c>
      <c r="B10" s="65">
        <f>IS!B29</f>
        <v>3.1</v>
      </c>
      <c r="C10" s="65">
        <f>IS!C29</f>
        <v>-268.60000000000002</v>
      </c>
      <c r="D10" s="65">
        <f>IS!D29</f>
        <v>39.9</v>
      </c>
      <c r="E10" s="65">
        <f>IS!E29</f>
        <v>49.6</v>
      </c>
      <c r="F10" s="66">
        <f>IS!F29</f>
        <v>168.9</v>
      </c>
    </row>
    <row r="11" spans="1:9" ht="14.95" customHeight="1" x14ac:dyDescent="0.2">
      <c r="A11" s="73" t="s">
        <v>172</v>
      </c>
      <c r="B11" s="45">
        <f>B10/B7</f>
        <v>2.1784961349262121E-2</v>
      </c>
      <c r="C11" s="45">
        <f t="shared" ref="C11:F11" si="2">C10/C7</f>
        <v>-0.89682804674457439</v>
      </c>
      <c r="D11" s="45">
        <f t="shared" si="2"/>
        <v>0.15011286681715574</v>
      </c>
      <c r="E11" s="45">
        <f t="shared" si="2"/>
        <v>0.12678936605316973</v>
      </c>
      <c r="F11" s="58">
        <f t="shared" si="2"/>
        <v>0.28258323573699179</v>
      </c>
    </row>
    <row r="12" spans="1:9" ht="14.95" customHeight="1" x14ac:dyDescent="0.25">
      <c r="A12" s="1"/>
      <c r="I12" t="s">
        <v>270</v>
      </c>
    </row>
    <row r="13" spans="1:9" ht="14.95" customHeight="1" x14ac:dyDescent="0.25">
      <c r="A13" s="61" t="s">
        <v>173</v>
      </c>
      <c r="B13" s="62" t="str">
        <f>B3</f>
        <v>DEC '19</v>
      </c>
      <c r="C13" s="62" t="str">
        <f t="shared" ref="C13:F13" si="3">C3</f>
        <v>DEC '20</v>
      </c>
      <c r="D13" s="62" t="str">
        <f t="shared" si="3"/>
        <v>DEC '21</v>
      </c>
      <c r="E13" s="62" t="str">
        <f t="shared" si="3"/>
        <v>DEC '22</v>
      </c>
      <c r="F13" s="63" t="str">
        <f t="shared" si="3"/>
        <v>DEC '23</v>
      </c>
    </row>
    <row r="14" spans="1:9" ht="14.95" customHeight="1" x14ac:dyDescent="0.25">
      <c r="A14" s="64" t="s">
        <v>174</v>
      </c>
      <c r="B14" s="65">
        <f>IS!B48</f>
        <v>48.7</v>
      </c>
      <c r="C14" s="65">
        <f>IS!C48</f>
        <v>67.099999999999994</v>
      </c>
      <c r="D14" s="65">
        <f>IS!D48</f>
        <v>101.9</v>
      </c>
      <c r="E14" s="65">
        <f>IS!E48</f>
        <v>155.9</v>
      </c>
      <c r="F14" s="66">
        <f>IS!F48</f>
        <v>186</v>
      </c>
    </row>
    <row r="15" spans="1:9" ht="14.95" customHeight="1" x14ac:dyDescent="0.2">
      <c r="A15" s="67" t="s">
        <v>176</v>
      </c>
      <c r="B15" s="71">
        <f>B14/B$4</f>
        <v>3.2994579945799463E-2</v>
      </c>
      <c r="C15" s="71">
        <f t="shared" ref="C15:F15" si="4">C14/C4</f>
        <v>3.4826387086728597E-2</v>
      </c>
      <c r="D15" s="71">
        <f t="shared" si="4"/>
        <v>4.1617316724525219E-2</v>
      </c>
      <c r="E15" s="71">
        <f t="shared" si="4"/>
        <v>5.357756546841707E-2</v>
      </c>
      <c r="F15" s="72">
        <f t="shared" si="4"/>
        <v>5.134859067443337E-2</v>
      </c>
    </row>
    <row r="16" spans="1:9" ht="14.95" customHeight="1" x14ac:dyDescent="0.25">
      <c r="A16" s="70"/>
      <c r="F16" s="60"/>
    </row>
    <row r="17" spans="1:35" ht="14.95" customHeight="1" x14ac:dyDescent="0.25">
      <c r="A17" s="64" t="s">
        <v>177</v>
      </c>
      <c r="B17" s="65">
        <f>CFS!B27</f>
        <v>-180</v>
      </c>
      <c r="C17" s="65">
        <f>CFS!C27</f>
        <v>-199</v>
      </c>
      <c r="D17" s="65">
        <f>CFS!D27</f>
        <v>-389.2</v>
      </c>
      <c r="E17" s="65">
        <f>CFS!E27</f>
        <v>-364.8</v>
      </c>
      <c r="F17" s="66">
        <f>CFS!F27</f>
        <v>-236.6</v>
      </c>
    </row>
    <row r="18" spans="1:35" ht="14.95" customHeight="1" x14ac:dyDescent="0.2">
      <c r="A18" s="67" t="s">
        <v>176</v>
      </c>
      <c r="B18" s="71">
        <f>-B17/B$4</f>
        <v>0.12195121951219512</v>
      </c>
      <c r="C18" s="71">
        <f t="shared" ref="C18:F18" si="5">-C17/C$4</f>
        <v>0.10328541028701925</v>
      </c>
      <c r="D18" s="71">
        <f t="shared" si="5"/>
        <v>0.15895446191545845</v>
      </c>
      <c r="E18" s="71">
        <f t="shared" si="5"/>
        <v>0.1253694411987078</v>
      </c>
      <c r="F18" s="72">
        <f t="shared" si="5"/>
        <v>6.5317615879413621E-2</v>
      </c>
    </row>
    <row r="19" spans="1:35" ht="14.95" customHeight="1" x14ac:dyDescent="0.25">
      <c r="A19" s="70"/>
      <c r="F19" s="60"/>
    </row>
    <row r="20" spans="1:35" ht="14.95" customHeight="1" x14ac:dyDescent="0.25">
      <c r="A20" s="64" t="s">
        <v>178</v>
      </c>
      <c r="B20" s="65">
        <f>CFS!B19</f>
        <v>6.1</v>
      </c>
      <c r="C20" s="65">
        <f>CFS!C19</f>
        <v>-20.8</v>
      </c>
      <c r="D20" s="65">
        <f>CFS!D19</f>
        <v>-132</v>
      </c>
      <c r="E20" s="65">
        <f>CFS!E19</f>
        <v>26.7</v>
      </c>
      <c r="F20" s="66">
        <f>CFS!F19</f>
        <v>3.2</v>
      </c>
    </row>
    <row r="21" spans="1:35" ht="14.95" customHeight="1" x14ac:dyDescent="0.2">
      <c r="A21" s="73" t="s">
        <v>176</v>
      </c>
      <c r="B21" s="45">
        <f t="shared" ref="B21:F21" si="6">B20/B$4</f>
        <v>4.1327913279132792E-3</v>
      </c>
      <c r="C21" s="45">
        <f t="shared" si="6"/>
        <v>-1.0795660974723622E-2</v>
      </c>
      <c r="D21" s="45">
        <f t="shared" si="6"/>
        <v>-5.3910557484173983E-2</v>
      </c>
      <c r="E21" s="45">
        <f t="shared" si="6"/>
        <v>9.1758883772080548E-3</v>
      </c>
      <c r="F21" s="58">
        <f t="shared" si="6"/>
        <v>8.8341661375369244E-4</v>
      </c>
    </row>
    <row r="24" spans="1:35" s="37" customFormat="1" ht="29.05" customHeight="1" x14ac:dyDescent="0.4">
      <c r="A24" s="38" t="s">
        <v>179</v>
      </c>
    </row>
    <row r="25" spans="1:35" ht="14.95" customHeight="1" x14ac:dyDescent="0.2">
      <c r="A25" t="s">
        <v>273</v>
      </c>
    </row>
    <row r="27" spans="1:35" ht="14.95" customHeight="1" x14ac:dyDescent="0.25">
      <c r="A27" s="61" t="str">
        <f>A3</f>
        <v>Income Statement</v>
      </c>
      <c r="B27" s="62" t="str">
        <f>IS!B8</f>
        <v>DEC '19</v>
      </c>
      <c r="C27" s="62" t="str">
        <f>IS!C8</f>
        <v>DEC '20</v>
      </c>
      <c r="D27" s="62" t="s">
        <v>1</v>
      </c>
      <c r="E27" s="62" t="s">
        <v>2</v>
      </c>
      <c r="F27" s="62" t="s">
        <v>3</v>
      </c>
      <c r="G27" s="62" t="s">
        <v>4</v>
      </c>
      <c r="H27" s="62" t="s">
        <v>5</v>
      </c>
      <c r="I27" s="62" t="s">
        <v>6</v>
      </c>
      <c r="J27" s="62" t="s">
        <v>7</v>
      </c>
      <c r="K27" s="62" t="s">
        <v>8</v>
      </c>
      <c r="L27" s="62" t="s">
        <v>166</v>
      </c>
      <c r="M27" s="62" t="s">
        <v>167</v>
      </c>
      <c r="N27" s="62" t="s">
        <v>214</v>
      </c>
      <c r="O27" s="62" t="s">
        <v>215</v>
      </c>
      <c r="P27" s="63" t="s">
        <v>216</v>
      </c>
    </row>
    <row r="28" spans="1:35" ht="14.95" customHeight="1" x14ac:dyDescent="0.25">
      <c r="A28" s="64" t="s">
        <v>9</v>
      </c>
      <c r="B28" s="105">
        <f>IS!B9</f>
        <v>1476</v>
      </c>
      <c r="C28" s="105">
        <f>IS!C9</f>
        <v>1926.7</v>
      </c>
      <c r="D28" s="105">
        <v>2448.5</v>
      </c>
      <c r="E28" s="105">
        <v>2909.8</v>
      </c>
      <c r="F28" s="105">
        <v>3622.3</v>
      </c>
      <c r="G28" s="99">
        <f>'IS est'!E4*0.9</f>
        <v>3894.75</v>
      </c>
      <c r="H28" s="99">
        <f>'IS est'!F4*0.9</f>
        <v>4636.7190000000001</v>
      </c>
      <c r="I28" s="99">
        <f>'IS est'!G4*0.9</f>
        <v>5461.5060000000003</v>
      </c>
      <c r="J28" s="99">
        <f>'IS est'!H4*0.9</f>
        <v>6244.1280000000006</v>
      </c>
      <c r="K28" s="99">
        <f>'IS est'!I4*0.9</f>
        <v>7142.4000000000005</v>
      </c>
      <c r="L28" s="99">
        <f>K28*(1+L29)</f>
        <v>8004.0340837608992</v>
      </c>
      <c r="M28" s="99">
        <f t="shared" ref="M28:P28" si="7">L28*(1+M29)</f>
        <v>8896.6597288215071</v>
      </c>
      <c r="N28" s="99">
        <f t="shared" si="7"/>
        <v>9851.9597172491794</v>
      </c>
      <c r="O28" s="99">
        <f t="shared" si="7"/>
        <v>10855.487740581088</v>
      </c>
      <c r="P28" s="99">
        <f t="shared" si="7"/>
        <v>11900.08993597512</v>
      </c>
      <c r="Q28" t="s">
        <v>274</v>
      </c>
      <c r="AI28">
        <v>-1</v>
      </c>
    </row>
    <row r="29" spans="1:35" ht="14.95" customHeight="1" x14ac:dyDescent="0.2">
      <c r="A29" s="74" t="s">
        <v>171</v>
      </c>
      <c r="B29" s="71">
        <f>(B28-1031.6)/1031.6</f>
        <v>0.43078712679333087</v>
      </c>
      <c r="C29" s="71">
        <f>(C28-IS!B9)/IS!B9</f>
        <v>0.30535230352303527</v>
      </c>
      <c r="D29" s="71">
        <f>(D28-IS!C9)/IS!C9</f>
        <v>0.27082576426013388</v>
      </c>
      <c r="E29" s="71">
        <f>(E28-IS!D9)/IS!D9</f>
        <v>0.18840106187461719</v>
      </c>
      <c r="F29" s="71">
        <f>(F28-IS!E9)/IS!E9</f>
        <v>0.24486218984122618</v>
      </c>
      <c r="G29" s="71">
        <f>(G28-IS!F9)/IS!F9</f>
        <v>7.5214642630372919E-2</v>
      </c>
      <c r="H29" s="71">
        <f>(H28-G28)/H28</f>
        <v>0.16002026432915173</v>
      </c>
      <c r="I29" s="71">
        <f t="shared" ref="I29:K29" si="8">(I28-H28)/I28</f>
        <v>0.15101823562951322</v>
      </c>
      <c r="J29" s="71">
        <f t="shared" si="8"/>
        <v>0.12533727687837282</v>
      </c>
      <c r="K29" s="71">
        <f t="shared" si="8"/>
        <v>0.12576612903225803</v>
      </c>
      <c r="L29" s="71">
        <f>AVERAGE(I29:K29)*0.9</f>
        <v>0.12063649246204322</v>
      </c>
      <c r="M29" s="71">
        <f>AVERAGE(J29:L29)*0.9</f>
        <v>0.11152196951180222</v>
      </c>
      <c r="N29" s="71">
        <f>AVERAGE(K29:M29)*0.9</f>
        <v>0.10737737730183104</v>
      </c>
      <c r="O29" s="71">
        <f>AVERAGE(L29:N29)*0.9</f>
        <v>0.10186075178270294</v>
      </c>
      <c r="P29" s="71">
        <f>AVERAGE(M29:O29)*0.9</f>
        <v>9.6228029578900851E-2</v>
      </c>
      <c r="Q29" t="s">
        <v>268</v>
      </c>
    </row>
    <row r="30" spans="1:35" ht="14.95" customHeight="1" x14ac:dyDescent="0.2">
      <c r="A30" s="75"/>
      <c r="B30" s="4"/>
      <c r="C30" s="5"/>
      <c r="D30" s="5"/>
      <c r="E30" s="5"/>
      <c r="F30" s="5"/>
      <c r="G30" s="5"/>
      <c r="H30" s="5"/>
      <c r="I30" s="5"/>
      <c r="P30" s="60"/>
    </row>
    <row r="31" spans="1:35" ht="14.95" customHeight="1" x14ac:dyDescent="0.25">
      <c r="A31" s="64" t="str">
        <f t="shared" ref="A31:F31" si="9">A7</f>
        <v>EBIT</v>
      </c>
      <c r="B31" s="105">
        <f t="shared" si="9"/>
        <v>142.30000000000001</v>
      </c>
      <c r="C31" s="105">
        <f t="shared" si="9"/>
        <v>299.5</v>
      </c>
      <c r="D31" s="105">
        <f t="shared" si="9"/>
        <v>265.8</v>
      </c>
      <c r="E31" s="105">
        <f t="shared" si="9"/>
        <v>391.2</v>
      </c>
      <c r="F31" s="106">
        <f t="shared" si="9"/>
        <v>597.70000000000005</v>
      </c>
      <c r="G31" s="99">
        <f>'IS est'!E30*0.9</f>
        <v>778.54680000000008</v>
      </c>
      <c r="H31" s="99">
        <f>'IS est'!F30*0.9</f>
        <v>1038.6089999999999</v>
      </c>
      <c r="I31" s="99">
        <f>'IS est'!G30*0.9</f>
        <v>1331.136</v>
      </c>
      <c r="J31" s="99">
        <f>'IS est'!H30*0.9</f>
        <v>1519.605</v>
      </c>
      <c r="K31" s="99">
        <f>'IS est'!I30*0.9</f>
        <v>1774.44</v>
      </c>
      <c r="L31" s="99">
        <f>K31*(1+L32)</f>
        <v>2231.2460360449777</v>
      </c>
      <c r="M31" s="99">
        <f t="shared" ref="M31:P31" si="10">L31*(1+M32)</f>
        <v>2816.3543587286181</v>
      </c>
      <c r="N31" s="99">
        <f t="shared" si="10"/>
        <v>3573.496987375655</v>
      </c>
      <c r="O31" s="99">
        <f t="shared" si="10"/>
        <v>4559.7034030161913</v>
      </c>
      <c r="P31" s="99">
        <f t="shared" si="10"/>
        <v>5847.6709324010926</v>
      </c>
      <c r="Q31" t="s">
        <v>278</v>
      </c>
    </row>
    <row r="32" spans="1:35" ht="14.95" customHeight="1" x14ac:dyDescent="0.2">
      <c r="A32" s="67" t="s">
        <v>170</v>
      </c>
      <c r="B32" s="71">
        <f>B31/B28</f>
        <v>9.6409214092140927E-2</v>
      </c>
      <c r="C32" s="71">
        <f t="shared" ref="C32:G32" si="11">C31/C28</f>
        <v>0.1554471375927752</v>
      </c>
      <c r="D32" s="71">
        <f t="shared" si="11"/>
        <v>0.10855625893404125</v>
      </c>
      <c r="E32" s="71">
        <f t="shared" si="11"/>
        <v>0.13444222970650901</v>
      </c>
      <c r="F32" s="71">
        <f t="shared" si="11"/>
        <v>0.16500565938768186</v>
      </c>
      <c r="G32" s="71">
        <f t="shared" si="11"/>
        <v>0.19989647602541885</v>
      </c>
      <c r="H32" s="71">
        <f>H31/H28</f>
        <v>0.22399653720658938</v>
      </c>
      <c r="I32" s="71">
        <f>I31/I28</f>
        <v>0.24373057541271581</v>
      </c>
      <c r="J32" s="71">
        <f>J31/J28</f>
        <v>0.24336544670448779</v>
      </c>
      <c r="K32" s="71">
        <f>K31/K28</f>
        <v>0.24843749999999998</v>
      </c>
      <c r="L32" s="68">
        <f>AVERAGE(I32:K32)*1.05</f>
        <v>0.25743673274102125</v>
      </c>
      <c r="M32" s="68">
        <f t="shared" ref="M32:P32" si="12">AVERAGE(J32:L32)*1.05</f>
        <v>0.26223388780592816</v>
      </c>
      <c r="N32" s="68">
        <f t="shared" si="12"/>
        <v>0.26883784219143231</v>
      </c>
      <c r="O32" s="68">
        <f t="shared" si="12"/>
        <v>0.27597796195843366</v>
      </c>
      <c r="P32" s="68">
        <f t="shared" si="12"/>
        <v>0.28246739218452793</v>
      </c>
      <c r="Q32" s="142" t="s">
        <v>291</v>
      </c>
      <c r="R32" s="142"/>
      <c r="S32" s="142"/>
      <c r="T32" s="142"/>
      <c r="U32" s="142"/>
      <c r="V32" s="142"/>
      <c r="W32" s="142"/>
      <c r="X32" s="142"/>
      <c r="Y32" s="142"/>
      <c r="Z32" s="142"/>
      <c r="AA32" s="142"/>
      <c r="AB32" s="142"/>
    </row>
    <row r="33" spans="1:28" ht="14.95" customHeight="1" x14ac:dyDescent="0.2">
      <c r="A33" s="40"/>
      <c r="P33" s="60"/>
      <c r="Q33" s="142"/>
      <c r="R33" s="142"/>
      <c r="S33" s="142"/>
      <c r="T33" s="142"/>
      <c r="U33" s="142"/>
      <c r="V33" s="142"/>
      <c r="W33" s="142"/>
      <c r="X33" s="142"/>
      <c r="Y33" s="142"/>
      <c r="Z33" s="142"/>
      <c r="AA33" s="142"/>
      <c r="AB33" s="142"/>
    </row>
    <row r="34" spans="1:28" ht="14.95" customHeight="1" x14ac:dyDescent="0.25">
      <c r="A34" s="64" t="str">
        <f t="shared" ref="A34:F35" si="13">A10</f>
        <v>Taxes</v>
      </c>
      <c r="B34" s="105">
        <f t="shared" si="13"/>
        <v>3.1</v>
      </c>
      <c r="C34" s="105">
        <f t="shared" si="13"/>
        <v>-268.60000000000002</v>
      </c>
      <c r="D34" s="105">
        <f t="shared" si="13"/>
        <v>39.9</v>
      </c>
      <c r="E34" s="105">
        <f t="shared" si="13"/>
        <v>49.6</v>
      </c>
      <c r="F34" s="105">
        <f t="shared" si="13"/>
        <v>168.9</v>
      </c>
      <c r="G34" s="99">
        <f>'IS est'!E35</f>
        <v>233.76900000000001</v>
      </c>
      <c r="H34" s="99">
        <f>'IS est'!F35</f>
        <v>286.16000000000003</v>
      </c>
      <c r="I34" s="99">
        <f>'IS est'!G35</f>
        <v>350.48899999999998</v>
      </c>
      <c r="J34" s="99">
        <f>'IS est'!H35</f>
        <v>411.82</v>
      </c>
      <c r="K34" s="99">
        <f>'IS est'!I35</f>
        <v>460.02499999999998</v>
      </c>
      <c r="L34" s="100">
        <f>L31*(L35)</f>
        <v>611.06766073024414</v>
      </c>
      <c r="M34" s="100">
        <f t="shared" ref="M34:P34" si="14">M31*(M35)</f>
        <v>756.44282289261264</v>
      </c>
      <c r="N34" s="100">
        <f t="shared" si="14"/>
        <v>954.84827221025239</v>
      </c>
      <c r="O34" s="100">
        <f t="shared" si="14"/>
        <v>1221.9238310750782</v>
      </c>
      <c r="P34" s="101">
        <f t="shared" si="14"/>
        <v>1563.5437763221532</v>
      </c>
    </row>
    <row r="35" spans="1:28" ht="14.95" customHeight="1" x14ac:dyDescent="0.2">
      <c r="A35" s="76" t="str">
        <f t="shared" si="13"/>
        <v>% operating income</v>
      </c>
      <c r="B35" s="45">
        <f>B34/B31</f>
        <v>2.1784961349262121E-2</v>
      </c>
      <c r="C35" s="45">
        <f t="shared" ref="C35:F35" si="15">C34/C31</f>
        <v>-0.89682804674457439</v>
      </c>
      <c r="D35" s="45">
        <f t="shared" si="15"/>
        <v>0.15011286681715574</v>
      </c>
      <c r="E35" s="45">
        <f t="shared" si="15"/>
        <v>0.12678936605316973</v>
      </c>
      <c r="F35" s="45">
        <f t="shared" si="15"/>
        <v>0.28258323573699179</v>
      </c>
      <c r="G35" s="45">
        <f>G34/G31</f>
        <v>0.30026325970384821</v>
      </c>
      <c r="H35" s="45">
        <f>H34/H31</f>
        <v>0.27552235730674396</v>
      </c>
      <c r="I35" s="45">
        <f>I34/I31</f>
        <v>0.26330066950334152</v>
      </c>
      <c r="J35" s="45">
        <f>J34/J31</f>
        <v>0.27100463607319009</v>
      </c>
      <c r="K35" s="45">
        <f>K34/K31</f>
        <v>0.25925080588805482</v>
      </c>
      <c r="L35" s="77">
        <f>AVERAGE(G35:K35)</f>
        <v>0.27386834569503576</v>
      </c>
      <c r="M35" s="77">
        <f t="shared" ref="M35:P35" si="16">AVERAGE(H35:L35)</f>
        <v>0.26858936289327323</v>
      </c>
      <c r="N35" s="77">
        <f t="shared" si="16"/>
        <v>0.26720276401057907</v>
      </c>
      <c r="O35" s="77">
        <f t="shared" si="16"/>
        <v>0.26798318291202661</v>
      </c>
      <c r="P35" s="78">
        <f t="shared" si="16"/>
        <v>0.26737889227979383</v>
      </c>
      <c r="Q35" t="s">
        <v>217</v>
      </c>
    </row>
    <row r="37" spans="1:28" ht="14.95" customHeight="1" x14ac:dyDescent="0.25">
      <c r="A37" s="61" t="str">
        <f t="shared" ref="A37:F45" si="17">A13</f>
        <v>Cash Flows</v>
      </c>
      <c r="B37" s="62" t="str">
        <f t="shared" si="17"/>
        <v>DEC '19</v>
      </c>
      <c r="C37" s="62" t="str">
        <f t="shared" si="17"/>
        <v>DEC '20</v>
      </c>
      <c r="D37" s="62" t="str">
        <f t="shared" si="17"/>
        <v>DEC '21</v>
      </c>
      <c r="E37" s="62" t="str">
        <f t="shared" si="17"/>
        <v>DEC '22</v>
      </c>
      <c r="F37" s="62" t="str">
        <f t="shared" si="17"/>
        <v>DEC '23</v>
      </c>
      <c r="G37" s="62" t="str">
        <f t="shared" ref="G37" si="18">G27</f>
        <v>Dec '24E</v>
      </c>
      <c r="H37" s="62" t="str">
        <f t="shared" ref="H37:M37" si="19">H27</f>
        <v>Dec '25E</v>
      </c>
      <c r="I37" s="62" t="str">
        <f t="shared" si="19"/>
        <v>Dec '26E</v>
      </c>
      <c r="J37" s="62" t="str">
        <f t="shared" si="19"/>
        <v>Dec '27E</v>
      </c>
      <c r="K37" s="62" t="str">
        <f t="shared" si="19"/>
        <v>Dec '28E</v>
      </c>
      <c r="L37" s="62" t="str">
        <f t="shared" si="19"/>
        <v>Dec '29E</v>
      </c>
      <c r="M37" s="62" t="str">
        <f t="shared" si="19"/>
        <v>Dec '30E</v>
      </c>
      <c r="N37" s="62" t="s">
        <v>214</v>
      </c>
      <c r="O37" s="62" t="s">
        <v>215</v>
      </c>
      <c r="P37" s="63" t="s">
        <v>216</v>
      </c>
    </row>
    <row r="38" spans="1:28" ht="14.95" customHeight="1" x14ac:dyDescent="0.25">
      <c r="A38" s="64" t="str">
        <f t="shared" si="17"/>
        <v>D&amp;A</v>
      </c>
      <c r="B38" s="105">
        <f t="shared" si="17"/>
        <v>48.7</v>
      </c>
      <c r="C38" s="105">
        <f t="shared" si="17"/>
        <v>67.099999999999994</v>
      </c>
      <c r="D38" s="105">
        <f t="shared" si="17"/>
        <v>101.9</v>
      </c>
      <c r="E38" s="105">
        <f t="shared" si="17"/>
        <v>155.9</v>
      </c>
      <c r="F38" s="105">
        <f t="shared" si="17"/>
        <v>186</v>
      </c>
      <c r="G38" s="99">
        <f>'IS est'!E23</f>
        <v>241.99299999999999</v>
      </c>
      <c r="H38" s="99">
        <f>'IS est'!F23</f>
        <v>298.92700000000002</v>
      </c>
      <c r="I38" s="99">
        <f>'IS est'!G23</f>
        <v>358.83199999999999</v>
      </c>
      <c r="J38" s="99">
        <f>'IS est'!H23</f>
        <v>438.59999999999991</v>
      </c>
      <c r="K38" s="99">
        <f>K39*K28</f>
        <v>534.12269397761224</v>
      </c>
      <c r="L38" s="99">
        <f t="shared" ref="L38:P38" si="20">L39*L28</f>
        <v>634.89545249674143</v>
      </c>
      <c r="M38" s="99">
        <f t="shared" si="20"/>
        <v>746.09080712054129</v>
      </c>
      <c r="N38" s="99">
        <f t="shared" si="20"/>
        <v>870.93167730325411</v>
      </c>
      <c r="O38" s="99">
        <f t="shared" si="20"/>
        <v>1008.9290153524984</v>
      </c>
      <c r="P38" s="102">
        <f t="shared" si="20"/>
        <v>1160.0423111813977</v>
      </c>
      <c r="Q38" t="s">
        <v>242</v>
      </c>
    </row>
    <row r="39" spans="1:28" ht="14.95" customHeight="1" x14ac:dyDescent="0.2">
      <c r="A39" s="67" t="str">
        <f t="shared" si="17"/>
        <v>% of sales</v>
      </c>
      <c r="B39" s="71">
        <f>B38/B$28</f>
        <v>3.2994579945799463E-2</v>
      </c>
      <c r="C39" s="71">
        <f t="shared" ref="C39:G39" si="21">C38/C$28</f>
        <v>3.4826387086728597E-2</v>
      </c>
      <c r="D39" s="71">
        <f t="shared" si="21"/>
        <v>4.1617316724525219E-2</v>
      </c>
      <c r="E39" s="71">
        <f t="shared" si="21"/>
        <v>5.357756546841707E-2</v>
      </c>
      <c r="F39" s="71">
        <f t="shared" si="21"/>
        <v>5.134859067443337E-2</v>
      </c>
      <c r="G39" s="71">
        <f t="shared" si="21"/>
        <v>6.2133127928621863E-2</v>
      </c>
      <c r="H39" s="71">
        <f>H38/H$28</f>
        <v>6.4469509582098891E-2</v>
      </c>
      <c r="I39" s="71">
        <f>I38/I$28</f>
        <v>6.5702024313440285E-2</v>
      </c>
      <c r="J39" s="71">
        <f>J38/J$28</f>
        <v>7.0241993757975477E-2</v>
      </c>
      <c r="K39" s="71">
        <f>J39*(1+(J39-I39)/J39)</f>
        <v>7.4781963202510668E-2</v>
      </c>
      <c r="L39" s="71">
        <f t="shared" ref="L39:P39" si="22">K39*(1+(K39-J39)/K39)</f>
        <v>7.9321932647045859E-2</v>
      </c>
      <c r="M39" s="71">
        <f t="shared" si="22"/>
        <v>8.386190209158105E-2</v>
      </c>
      <c r="N39" s="71">
        <f t="shared" si="22"/>
        <v>8.8401871536116242E-2</v>
      </c>
      <c r="O39" s="71">
        <f t="shared" si="22"/>
        <v>9.2941840980651419E-2</v>
      </c>
      <c r="P39" s="72">
        <f t="shared" si="22"/>
        <v>9.748181042518661E-2</v>
      </c>
      <c r="Q39" t="s">
        <v>241</v>
      </c>
    </row>
    <row r="40" spans="1:28" ht="14.95" customHeight="1" x14ac:dyDescent="0.25">
      <c r="A40" s="70"/>
      <c r="P40" s="60"/>
    </row>
    <row r="41" spans="1:28" ht="14.95" customHeight="1" x14ac:dyDescent="0.25">
      <c r="A41" s="64" t="str">
        <f t="shared" si="17"/>
        <v>CAPEX</v>
      </c>
      <c r="B41" s="105">
        <f t="shared" si="17"/>
        <v>-180</v>
      </c>
      <c r="C41" s="105">
        <f t="shared" si="17"/>
        <v>-199</v>
      </c>
      <c r="D41" s="105">
        <f t="shared" si="17"/>
        <v>-389.2</v>
      </c>
      <c r="E41" s="105">
        <f t="shared" si="17"/>
        <v>-364.8</v>
      </c>
      <c r="F41" s="105">
        <f t="shared" si="17"/>
        <v>-236.6</v>
      </c>
      <c r="G41" s="99">
        <f>(('CFS est'!E4)*-0.9)</f>
        <v>-292.92750000000001</v>
      </c>
      <c r="H41" s="99">
        <f>(('CFS est'!F4)*-0.9)</f>
        <v>-306.40860000000004</v>
      </c>
      <c r="I41" s="99">
        <f>(('CFS est'!G4)*-0.9)</f>
        <v>-339.75</v>
      </c>
      <c r="J41" s="100">
        <f>-J42*J28</f>
        <v>-492.27343734078903</v>
      </c>
      <c r="K41" s="100">
        <f t="shared" ref="K41:P41" si="23">-K42*K28</f>
        <v>-496.62175260002698</v>
      </c>
      <c r="L41" s="100">
        <f t="shared" si="23"/>
        <v>-563.2780659430905</v>
      </c>
      <c r="M41" s="100">
        <f t="shared" si="23"/>
        <v>-617.49004704401398</v>
      </c>
      <c r="N41" s="100">
        <f t="shared" si="23"/>
        <v>-690.34387299417574</v>
      </c>
      <c r="O41" s="100">
        <f t="shared" si="23"/>
        <v>-777.7354940586938</v>
      </c>
      <c r="P41" s="101">
        <f t="shared" si="23"/>
        <v>-835.45510890616197</v>
      </c>
      <c r="Q41" t="s">
        <v>243</v>
      </c>
    </row>
    <row r="42" spans="1:28" ht="14.95" customHeight="1" x14ac:dyDescent="0.2">
      <c r="A42" s="67" t="str">
        <f t="shared" si="17"/>
        <v>% of sales</v>
      </c>
      <c r="B42" s="71">
        <f>-B41/B$28</f>
        <v>0.12195121951219512</v>
      </c>
      <c r="C42" s="71">
        <f t="shared" ref="C42:F42" si="24">-C41/C$28</f>
        <v>0.10328541028701925</v>
      </c>
      <c r="D42" s="71">
        <f t="shared" si="24"/>
        <v>0.15895446191545845</v>
      </c>
      <c r="E42" s="71">
        <f t="shared" si="24"/>
        <v>0.1253694411987078</v>
      </c>
      <c r="F42" s="71">
        <f t="shared" si="24"/>
        <v>6.5317615879413621E-2</v>
      </c>
      <c r="G42" s="71">
        <f>-G41/G$28</f>
        <v>7.5210860774119009E-2</v>
      </c>
      <c r="H42" s="71">
        <f>-H41/H$28</f>
        <v>6.608306433924506E-2</v>
      </c>
      <c r="I42" s="71">
        <f>-I41/I$28</f>
        <v>6.2208116222887966E-2</v>
      </c>
      <c r="J42" s="71">
        <f t="shared" ref="J42:P42" si="25">AVERAGE(E42:I42)</f>
        <v>7.8837819682874691E-2</v>
      </c>
      <c r="K42" s="71">
        <f t="shared" si="25"/>
        <v>6.9531495379708069E-2</v>
      </c>
      <c r="L42" s="71">
        <f t="shared" si="25"/>
        <v>7.0374271279766962E-2</v>
      </c>
      <c r="M42" s="71">
        <f t="shared" si="25"/>
        <v>6.9406953380896544E-2</v>
      </c>
      <c r="N42" s="71">
        <f t="shared" si="25"/>
        <v>7.0071731189226841E-2</v>
      </c>
      <c r="O42" s="71">
        <f t="shared" si="25"/>
        <v>7.1644454182494627E-2</v>
      </c>
      <c r="P42" s="72">
        <f t="shared" si="25"/>
        <v>7.0205781082418595E-2</v>
      </c>
      <c r="Q42" t="s">
        <v>290</v>
      </c>
    </row>
    <row r="43" spans="1:28" ht="14.95" customHeight="1" x14ac:dyDescent="0.25">
      <c r="A43" s="70"/>
      <c r="P43" s="60"/>
    </row>
    <row r="44" spans="1:28" ht="14.95" customHeight="1" x14ac:dyDescent="0.25">
      <c r="A44" s="64" t="str">
        <f t="shared" si="17"/>
        <v>Change Working Capital</v>
      </c>
      <c r="B44" s="105">
        <f t="shared" si="17"/>
        <v>6.1</v>
      </c>
      <c r="C44" s="105">
        <f t="shared" si="17"/>
        <v>-20.8</v>
      </c>
      <c r="D44" s="105">
        <f t="shared" si="17"/>
        <v>-132</v>
      </c>
      <c r="E44" s="105">
        <f t="shared" si="17"/>
        <v>26.7</v>
      </c>
      <c r="F44" s="105">
        <f t="shared" si="17"/>
        <v>3.2</v>
      </c>
      <c r="G44" s="100">
        <f>G45*G28</f>
        <v>39.347975440970586</v>
      </c>
      <c r="H44" s="100">
        <f t="shared" ref="H44:P44" si="26">H45*H28</f>
        <v>41.307684797828287</v>
      </c>
      <c r="I44" s="100">
        <f t="shared" si="26"/>
        <v>27.132336091495301</v>
      </c>
      <c r="J44" s="100">
        <f t="shared" si="26"/>
        <v>42.508611349915491</v>
      </c>
      <c r="K44" s="100">
        <f t="shared" si="26"/>
        <v>45.241039755090995</v>
      </c>
      <c r="L44" s="100">
        <f t="shared" si="26"/>
        <v>59.424332790448211</v>
      </c>
      <c r="M44" s="100">
        <f t="shared" si="26"/>
        <v>61.285463457000112</v>
      </c>
      <c r="N44" s="100">
        <f t="shared" si="26"/>
        <v>63.885500113169421</v>
      </c>
      <c r="O44" s="100">
        <f t="shared" si="26"/>
        <v>73.685666834129776</v>
      </c>
      <c r="P44" s="101">
        <f t="shared" si="26"/>
        <v>80.728927804869642</v>
      </c>
    </row>
    <row r="45" spans="1:28" ht="14.95" customHeight="1" x14ac:dyDescent="0.2">
      <c r="A45" s="73" t="str">
        <f t="shared" si="17"/>
        <v>% of sales</v>
      </c>
      <c r="B45" s="45">
        <f>B44/B$28</f>
        <v>4.1327913279132792E-3</v>
      </c>
      <c r="C45" s="45">
        <f t="shared" ref="C45:F45" si="27">C44/C$28</f>
        <v>-1.0795660974723622E-2</v>
      </c>
      <c r="D45" s="45">
        <f t="shared" si="27"/>
        <v>-5.3910557484173983E-2</v>
      </c>
      <c r="E45" s="45">
        <f t="shared" si="27"/>
        <v>9.1758883772080548E-3</v>
      </c>
      <c r="F45" s="45">
        <f t="shared" si="27"/>
        <v>8.8341661375369244E-4</v>
      </c>
      <c r="G45" s="79">
        <f>-AVERAGE(B45:F45)</f>
        <v>1.0102824428004515E-2</v>
      </c>
      <c r="H45" s="79">
        <f>(AVERAGE(C45:G45))*-1</f>
        <v>8.9088178079862693E-3</v>
      </c>
      <c r="I45" s="79">
        <f>-AVERAGE(D45:H45)</f>
        <v>4.9679220514442903E-3</v>
      </c>
      <c r="J45" s="79">
        <f>(AVERAGE(E45:I45))</f>
        <v>6.8077738556793655E-3</v>
      </c>
      <c r="K45" s="79">
        <f>AVERAGE(F45:J45)</f>
        <v>6.3341509513736268E-3</v>
      </c>
      <c r="L45" s="79">
        <f>(AVERAGE(G45:K45))</f>
        <v>7.4242978188976145E-3</v>
      </c>
      <c r="M45" s="79">
        <f>AVERAGE(H45:L45)</f>
        <v>6.8885924970762333E-3</v>
      </c>
      <c r="N45" s="79">
        <f>(AVERAGE(I45:M45))</f>
        <v>6.4845474348942268E-3</v>
      </c>
      <c r="O45" s="79">
        <f>AVERAGE(J45:N45)</f>
        <v>6.7878725115842128E-3</v>
      </c>
      <c r="P45" s="80">
        <f>(AVERAGE(K45:O45))</f>
        <v>6.7838922427651827E-3</v>
      </c>
      <c r="Q45" t="s">
        <v>289</v>
      </c>
    </row>
    <row r="48" spans="1:28" ht="14.95" customHeight="1" x14ac:dyDescent="0.25">
      <c r="A48" s="36" t="s">
        <v>258</v>
      </c>
      <c r="F48" s="47"/>
      <c r="G48" s="81">
        <f>G31-G34+G38+G41+G44</f>
        <v>533.19127544097057</v>
      </c>
      <c r="H48" s="82">
        <f t="shared" ref="H48:P48" si="28">H31-H34+H38+H41+H44</f>
        <v>786.27508479782807</v>
      </c>
      <c r="I48" s="82">
        <f t="shared" si="28"/>
        <v>1026.8613360914951</v>
      </c>
      <c r="J48" s="82">
        <f t="shared" si="28"/>
        <v>1096.6201740091265</v>
      </c>
      <c r="K48" s="82">
        <f t="shared" si="28"/>
        <v>1397.156981132676</v>
      </c>
      <c r="L48" s="82">
        <f t="shared" si="28"/>
        <v>1751.2200946588327</v>
      </c>
      <c r="M48" s="82">
        <f t="shared" si="28"/>
        <v>2249.7977593695332</v>
      </c>
      <c r="N48" s="82">
        <f t="shared" si="28"/>
        <v>2863.1220195876504</v>
      </c>
      <c r="O48" s="82">
        <f t="shared" si="28"/>
        <v>3642.6587600690473</v>
      </c>
      <c r="P48" s="83">
        <f t="shared" si="28"/>
        <v>4689.443286159044</v>
      </c>
    </row>
    <row r="49" spans="1:16" ht="14.95" customHeight="1" x14ac:dyDescent="0.25">
      <c r="A49" s="48" t="s">
        <v>246</v>
      </c>
      <c r="B49" s="107">
        <f>WACC!C27</f>
        <v>8.7205867676605958E-2</v>
      </c>
      <c r="N49" t="s">
        <v>257</v>
      </c>
      <c r="P49" s="84">
        <f>P48*(1+B50)/(B49-B50)</f>
        <v>77270.513985944926</v>
      </c>
    </row>
    <row r="50" spans="1:16" ht="14.95" customHeight="1" x14ac:dyDescent="0.25">
      <c r="A50" s="49" t="s">
        <v>250</v>
      </c>
      <c r="B50" s="108">
        <v>2.5000000000000001E-2</v>
      </c>
      <c r="C50" t="s">
        <v>261</v>
      </c>
    </row>
    <row r="52" spans="1:16" ht="14.95" customHeight="1" x14ac:dyDescent="0.2">
      <c r="A52" s="51" t="s">
        <v>251</v>
      </c>
      <c r="B52" s="52">
        <f>NPV(B49,G48,H48,I48,J48,K48,L48,M48,N48,O48,P48+P49)</f>
        <v>44676.761638957694</v>
      </c>
    </row>
    <row r="53" spans="1:16" ht="14.95" customHeight="1" x14ac:dyDescent="0.2">
      <c r="A53" s="53" t="s">
        <v>252</v>
      </c>
      <c r="B53" s="54">
        <f>BS!F12</f>
        <v>566.29999999999995</v>
      </c>
    </row>
    <row r="54" spans="1:16" ht="14.95" customHeight="1" x14ac:dyDescent="0.2">
      <c r="A54" s="53" t="s">
        <v>253</v>
      </c>
      <c r="B54" s="54">
        <f>WACC!C20</f>
        <v>2877.9</v>
      </c>
    </row>
    <row r="55" spans="1:16" ht="14.95" customHeight="1" x14ac:dyDescent="0.2">
      <c r="A55" s="49" t="s">
        <v>254</v>
      </c>
      <c r="B55" s="55">
        <f>B52+B53-B54</f>
        <v>42365.161638957696</v>
      </c>
    </row>
    <row r="57" spans="1:16" ht="14.95" customHeight="1" x14ac:dyDescent="0.2">
      <c r="A57" s="51" t="s">
        <v>256</v>
      </c>
      <c r="B57" s="56">
        <f>IS!F40</f>
        <v>385.4</v>
      </c>
    </row>
    <row r="58" spans="1:16" ht="14.95" customHeight="1" x14ac:dyDescent="0.2">
      <c r="A58" s="49" t="s">
        <v>255</v>
      </c>
      <c r="B58" s="57">
        <f>B55/B57</f>
        <v>109.92517290855656</v>
      </c>
    </row>
    <row r="59" spans="1:16" ht="14.95" customHeight="1" x14ac:dyDescent="0.2">
      <c r="B59" s="47"/>
    </row>
    <row r="60" spans="1:16" ht="14.95" customHeight="1" x14ac:dyDescent="0.2">
      <c r="A60" s="51" t="s">
        <v>279</v>
      </c>
      <c r="B60" s="94">
        <f ca="1">$B$2</f>
        <v>86.35</v>
      </c>
    </row>
    <row r="61" spans="1:16" ht="14.95" customHeight="1" x14ac:dyDescent="0.2">
      <c r="A61" s="49" t="str">
        <f ca="1">IF(B58&gt;B60,"Undervalued by","Overvalued by")</f>
        <v>Undervalued by</v>
      </c>
      <c r="B61" s="50">
        <f ca="1">IF((B58-B60)/B58&lt;0,(B58-B60)/B58*-1,(B58-B60)/B58)</f>
        <v>0.21446564317136024</v>
      </c>
    </row>
    <row r="62" spans="1:16" ht="14.95" customHeight="1" x14ac:dyDescent="0.25">
      <c r="A62" s="111" t="s">
        <v>281</v>
      </c>
      <c r="B62" s="109" t="str">
        <f ca="1">IF(B60&gt;B58,"SELL","BUY")</f>
        <v>BUY</v>
      </c>
    </row>
    <row r="64" spans="1:16" ht="14.95" customHeight="1" x14ac:dyDescent="0.25">
      <c r="A64" s="36" t="s">
        <v>259</v>
      </c>
      <c r="G64" s="81">
        <f>G48</f>
        <v>533.19127544097057</v>
      </c>
      <c r="H64" s="82">
        <f t="shared" ref="H64:P64" si="29">H48</f>
        <v>786.27508479782807</v>
      </c>
      <c r="I64" s="82">
        <f t="shared" si="29"/>
        <v>1026.8613360914951</v>
      </c>
      <c r="J64" s="82">
        <f t="shared" si="29"/>
        <v>1096.6201740091265</v>
      </c>
      <c r="K64" s="82">
        <f t="shared" si="29"/>
        <v>1397.156981132676</v>
      </c>
      <c r="L64" s="82">
        <f t="shared" si="29"/>
        <v>1751.2200946588327</v>
      </c>
      <c r="M64" s="82">
        <f t="shared" si="29"/>
        <v>2249.7977593695332</v>
      </c>
      <c r="N64" s="82">
        <f t="shared" si="29"/>
        <v>2863.1220195876504</v>
      </c>
      <c r="O64" s="82">
        <f t="shared" si="29"/>
        <v>3642.6587600690473</v>
      </c>
      <c r="P64" s="83">
        <f t="shared" si="29"/>
        <v>4689.443286159044</v>
      </c>
    </row>
    <row r="65" spans="1:16" ht="14.95" customHeight="1" x14ac:dyDescent="0.25">
      <c r="A65" s="48" t="s">
        <v>245</v>
      </c>
      <c r="B65" s="107">
        <f>WACC!C55</f>
        <v>0.10624760301216089</v>
      </c>
      <c r="N65" t="s">
        <v>260</v>
      </c>
      <c r="P65" s="84">
        <f>P64*(1+B66)/(B65-B66)</f>
        <v>68122.625828495278</v>
      </c>
    </row>
    <row r="66" spans="1:16" ht="14.95" customHeight="1" x14ac:dyDescent="0.25">
      <c r="A66" s="49" t="s">
        <v>250</v>
      </c>
      <c r="B66" s="108">
        <v>3.5000000000000003E-2</v>
      </c>
      <c r="C66" t="s">
        <v>262</v>
      </c>
    </row>
    <row r="68" spans="1:16" ht="14.95" customHeight="1" x14ac:dyDescent="0.2">
      <c r="A68" s="51" t="s">
        <v>251</v>
      </c>
      <c r="B68" s="52">
        <f>NPV(B65,G64,H64,I64,J64,K64,L64,M64,N64,O64,P64+P65)</f>
        <v>34794.698171584649</v>
      </c>
    </row>
    <row r="69" spans="1:16" ht="14.95" customHeight="1" x14ac:dyDescent="0.2">
      <c r="A69" s="53" t="s">
        <v>252</v>
      </c>
      <c r="B69" s="59">
        <v>566.29999999999995</v>
      </c>
    </row>
    <row r="70" spans="1:16" ht="14.95" customHeight="1" x14ac:dyDescent="0.2">
      <c r="A70" s="53" t="s">
        <v>253</v>
      </c>
      <c r="B70" s="59">
        <v>2877.9</v>
      </c>
    </row>
    <row r="71" spans="1:16" ht="14.95" customHeight="1" x14ac:dyDescent="0.2">
      <c r="A71" s="49" t="str">
        <f>A55</f>
        <v>Equity value</v>
      </c>
      <c r="B71" s="55">
        <f>B68+B69-B70</f>
        <v>32483.09817158465</v>
      </c>
    </row>
    <row r="73" spans="1:16" ht="14.95" customHeight="1" x14ac:dyDescent="0.2">
      <c r="A73" s="51" t="s">
        <v>256</v>
      </c>
      <c r="B73" s="56">
        <v>385.4</v>
      </c>
    </row>
    <row r="74" spans="1:16" ht="14.95" customHeight="1" x14ac:dyDescent="0.2">
      <c r="A74" s="49" t="s">
        <v>255</v>
      </c>
      <c r="B74" s="57">
        <f>B71/B73</f>
        <v>84.284115650193698</v>
      </c>
    </row>
    <row r="75" spans="1:16" ht="14.95" customHeight="1" x14ac:dyDescent="0.2">
      <c r="B75" s="47"/>
    </row>
    <row r="76" spans="1:16" ht="14.95" customHeight="1" x14ac:dyDescent="0.2">
      <c r="A76" s="51" t="s">
        <v>279</v>
      </c>
      <c r="B76" s="94">
        <f ca="1">$B$2</f>
        <v>86.35</v>
      </c>
    </row>
    <row r="77" spans="1:16" ht="14.95" customHeight="1" x14ac:dyDescent="0.2">
      <c r="A77" s="49" t="str">
        <f ca="1">IF(B74&gt;B76,"Undervalued by","Overvalued by")</f>
        <v>Overvalued by</v>
      </c>
      <c r="B77" s="50">
        <f ca="1">IF((B74-B76)/B74&lt;0,(B74-B76)/B74*-1,(B74-B76)/B74)</f>
        <v>2.4510957181782433E-2</v>
      </c>
    </row>
    <row r="78" spans="1:16" ht="14.95" customHeight="1" x14ac:dyDescent="0.25">
      <c r="A78" s="111" t="s">
        <v>281</v>
      </c>
      <c r="B78" s="109" t="str">
        <f ca="1">IF(B76&gt;B74,"SELL","BUY")</f>
        <v>SELL</v>
      </c>
    </row>
    <row r="80" spans="1:16" ht="14.95" customHeight="1" x14ac:dyDescent="0.25">
      <c r="A80" s="36" t="s">
        <v>263</v>
      </c>
      <c r="G80" s="81">
        <f>G48</f>
        <v>533.19127544097057</v>
      </c>
      <c r="H80" s="82">
        <f t="shared" ref="H80:P80" si="30">H48</f>
        <v>786.27508479782807</v>
      </c>
      <c r="I80" s="82">
        <f t="shared" si="30"/>
        <v>1026.8613360914951</v>
      </c>
      <c r="J80" s="82">
        <f t="shared" si="30"/>
        <v>1096.6201740091265</v>
      </c>
      <c r="K80" s="82">
        <f t="shared" si="30"/>
        <v>1397.156981132676</v>
      </c>
      <c r="L80" s="82">
        <f t="shared" si="30"/>
        <v>1751.2200946588327</v>
      </c>
      <c r="M80" s="82">
        <f t="shared" si="30"/>
        <v>2249.7977593695332</v>
      </c>
      <c r="N80" s="82">
        <f t="shared" si="30"/>
        <v>2863.1220195876504</v>
      </c>
      <c r="O80" s="82">
        <f t="shared" si="30"/>
        <v>3642.6587600690473</v>
      </c>
      <c r="P80" s="83">
        <f t="shared" si="30"/>
        <v>4689.443286159044</v>
      </c>
    </row>
    <row r="81" spans="1:16" ht="14.95" customHeight="1" x14ac:dyDescent="0.25">
      <c r="A81" s="48" t="s">
        <v>249</v>
      </c>
      <c r="B81" s="107">
        <f>WACC!C83</f>
        <v>5.0242499084058118E-2</v>
      </c>
      <c r="N81" t="s">
        <v>264</v>
      </c>
      <c r="P81" s="84">
        <f>P80*(1+B82)/(B81-B82)</f>
        <v>135058.09914611047</v>
      </c>
    </row>
    <row r="82" spans="1:16" ht="14.95" customHeight="1" x14ac:dyDescent="0.25">
      <c r="A82" s="49" t="str">
        <f>A66</f>
        <v>Constant Growth rate</v>
      </c>
      <c r="B82" s="108">
        <v>1.4999999999999999E-2</v>
      </c>
      <c r="C82" t="s">
        <v>265</v>
      </c>
    </row>
    <row r="84" spans="1:16" ht="14.95" customHeight="1" x14ac:dyDescent="0.2">
      <c r="A84" s="51" t="s">
        <v>266</v>
      </c>
      <c r="B84" s="52">
        <f>NPV(B81,G80,H80,I80,J80,K80,L80,M80,N80,O80,P80+P81)</f>
        <v>96875.538482644304</v>
      </c>
    </row>
    <row r="85" spans="1:16" ht="14.95" customHeight="1" x14ac:dyDescent="0.2">
      <c r="A85" s="53" t="str">
        <f>A53</f>
        <v>(+) Cash</v>
      </c>
      <c r="B85" s="60">
        <f t="shared" ref="A85:B86" si="31">B53</f>
        <v>566.29999999999995</v>
      </c>
    </row>
    <row r="86" spans="1:16" ht="14.95" customHeight="1" x14ac:dyDescent="0.2">
      <c r="A86" s="53" t="str">
        <f t="shared" si="31"/>
        <v>(-) Debt</v>
      </c>
      <c r="B86" s="60">
        <f t="shared" si="31"/>
        <v>2877.9</v>
      </c>
    </row>
    <row r="87" spans="1:16" ht="14.95" customHeight="1" x14ac:dyDescent="0.2">
      <c r="A87" s="49" t="s">
        <v>267</v>
      </c>
      <c r="B87" s="55">
        <f>B84+B85-B86</f>
        <v>94563.938482644313</v>
      </c>
    </row>
    <row r="89" spans="1:16" ht="14.95" customHeight="1" x14ac:dyDescent="0.2">
      <c r="A89" s="51" t="s">
        <v>256</v>
      </c>
      <c r="B89" s="56">
        <v>385.4</v>
      </c>
    </row>
    <row r="90" spans="1:16" ht="14.95" customHeight="1" x14ac:dyDescent="0.2">
      <c r="A90" s="49" t="s">
        <v>255</v>
      </c>
      <c r="B90" s="57">
        <f>B87/B89</f>
        <v>245.36569403903559</v>
      </c>
    </row>
    <row r="92" spans="1:16" x14ac:dyDescent="0.2">
      <c r="A92" s="51" t="s">
        <v>279</v>
      </c>
      <c r="B92" s="94">
        <f ca="1">$B$2</f>
        <v>86.35</v>
      </c>
    </row>
    <row r="93" spans="1:16" x14ac:dyDescent="0.2">
      <c r="A93" s="49" t="str">
        <f ca="1">IF(B90&gt;B92,"Undervalued by","Overvalued by")</f>
        <v>Undervalued by</v>
      </c>
      <c r="B93" s="50">
        <f ca="1">IF((B90-B92)/B90&lt;0,(B90-B92)/B90*-1,(B90-B92)/B90)</f>
        <v>0.64807631181618064</v>
      </c>
    </row>
    <row r="94" spans="1:16" ht="13.6" x14ac:dyDescent="0.25">
      <c r="A94" s="111" t="s">
        <v>281</v>
      </c>
      <c r="B94" s="109" t="str">
        <f ca="1">IF(B92&gt;B90,"SELL","BUY")</f>
        <v>BUY</v>
      </c>
    </row>
    <row r="98" spans="1:10" ht="13.6" x14ac:dyDescent="0.25">
      <c r="A98" s="114"/>
      <c r="B98" s="114"/>
      <c r="C98" s="114"/>
      <c r="D98" s="114"/>
      <c r="E98" s="114"/>
      <c r="F98" s="117" t="s">
        <v>282</v>
      </c>
      <c r="G98" s="114"/>
      <c r="H98" s="114"/>
      <c r="I98" s="114"/>
      <c r="J98" s="114"/>
    </row>
    <row r="99" spans="1:10" x14ac:dyDescent="0.2">
      <c r="A99" s="114"/>
      <c r="B99" s="114"/>
      <c r="C99" s="118">
        <f>B90</f>
        <v>245.36569403903559</v>
      </c>
      <c r="D99" s="120">
        <f>0.015</f>
        <v>1.4999999999999999E-2</v>
      </c>
      <c r="E99" s="116">
        <f t="shared" ref="E99:J99" si="32">D99+0.005</f>
        <v>0.02</v>
      </c>
      <c r="F99" s="120">
        <f t="shared" si="32"/>
        <v>2.5000000000000001E-2</v>
      </c>
      <c r="G99" s="116">
        <f t="shared" si="32"/>
        <v>3.0000000000000002E-2</v>
      </c>
      <c r="H99" s="120">
        <f t="shared" si="32"/>
        <v>3.5000000000000003E-2</v>
      </c>
      <c r="I99" s="116">
        <f t="shared" si="32"/>
        <v>0.04</v>
      </c>
      <c r="J99" s="116">
        <f t="shared" si="32"/>
        <v>4.4999999999999998E-2</v>
      </c>
    </row>
    <row r="100" spans="1:10" x14ac:dyDescent="0.2">
      <c r="A100" s="114"/>
      <c r="B100" s="114"/>
      <c r="C100" s="115">
        <f>0.05</f>
        <v>0.05</v>
      </c>
      <c r="D100" s="112">
        <f t="shared" ref="D100:J109" si="33">(NPV($C100,$G$48,$H$48,$I$48,$J$48,$K$48,$L$48,$M$48,$N$48,$O$48,($P$48*(1+D$99)/($C100-D$99)+$P$48))+($B$53-$B$54))/$B$57</f>
        <v>247.41126289873074</v>
      </c>
      <c r="E100" s="112">
        <f t="shared" si="33"/>
        <v>284.76091760943092</v>
      </c>
      <c r="F100" s="112">
        <f t="shared" si="33"/>
        <v>337.05043420441115</v>
      </c>
      <c r="G100" s="112">
        <f t="shared" si="33"/>
        <v>415.48470909688143</v>
      </c>
      <c r="H100" s="112">
        <f t="shared" si="33"/>
        <v>546.208500584332</v>
      </c>
      <c r="I100" s="112">
        <f t="shared" si="33"/>
        <v>807.65608355923302</v>
      </c>
      <c r="J100" s="112">
        <f t="shared" si="33"/>
        <v>1591.9988324839351</v>
      </c>
    </row>
    <row r="101" spans="1:10" x14ac:dyDescent="0.2">
      <c r="A101" s="114"/>
      <c r="B101" s="114"/>
      <c r="C101" s="119">
        <v>5.0200000000000002E-2</v>
      </c>
      <c r="D101" s="112">
        <f t="shared" si="33"/>
        <v>245.72211106119795</v>
      </c>
      <c r="E101" s="112">
        <f t="shared" si="33"/>
        <v>282.55042613028564</v>
      </c>
      <c r="F101" s="112">
        <f t="shared" si="33"/>
        <v>333.99315194107487</v>
      </c>
      <c r="G101" s="112">
        <f t="shared" si="33"/>
        <v>410.90257369779931</v>
      </c>
      <c r="H101" s="112">
        <f t="shared" si="33"/>
        <v>538.41029924184227</v>
      </c>
      <c r="I101" s="112">
        <f t="shared" si="33"/>
        <v>790.92559884867285</v>
      </c>
      <c r="J101" s="112">
        <f t="shared" si="33"/>
        <v>1529.0472438532531</v>
      </c>
    </row>
    <row r="102" spans="1:10" x14ac:dyDescent="0.2">
      <c r="A102" s="114"/>
      <c r="B102" s="114"/>
      <c r="C102" s="115">
        <f>C100+0.005</f>
        <v>5.5E-2</v>
      </c>
      <c r="D102" s="112">
        <f t="shared" si="33"/>
        <v>210.35145520859172</v>
      </c>
      <c r="E102" s="112">
        <f t="shared" si="33"/>
        <v>237.19126350350311</v>
      </c>
      <c r="F102" s="112">
        <f t="shared" si="33"/>
        <v>272.97767456338511</v>
      </c>
      <c r="G102" s="112">
        <f t="shared" si="33"/>
        <v>323.07865004721987</v>
      </c>
      <c r="H102" s="112">
        <f t="shared" si="33"/>
        <v>398.23011327297195</v>
      </c>
      <c r="I102" s="112">
        <f t="shared" si="33"/>
        <v>523.48255198255879</v>
      </c>
      <c r="J102" s="112">
        <f t="shared" si="33"/>
        <v>773.98742940173224</v>
      </c>
    </row>
    <row r="103" spans="1:10" x14ac:dyDescent="0.2">
      <c r="A103" s="114"/>
      <c r="B103" s="114"/>
      <c r="C103" s="115">
        <f t="shared" ref="C103:C108" si="34">C102+0.005</f>
        <v>0.06</v>
      </c>
      <c r="D103" s="112">
        <f t="shared" si="33"/>
        <v>181.70966800419683</v>
      </c>
      <c r="E103" s="112">
        <f t="shared" si="33"/>
        <v>201.71539276266375</v>
      </c>
      <c r="F103" s="112">
        <f t="shared" si="33"/>
        <v>227.43703888069263</v>
      </c>
      <c r="G103" s="112">
        <f t="shared" si="33"/>
        <v>261.73256703806442</v>
      </c>
      <c r="H103" s="112">
        <f t="shared" si="33"/>
        <v>309.74630645838494</v>
      </c>
      <c r="I103" s="112">
        <f t="shared" si="33"/>
        <v>381.7669155888658</v>
      </c>
      <c r="J103" s="112">
        <f t="shared" si="33"/>
        <v>501.80126413966701</v>
      </c>
    </row>
    <row r="104" spans="1:10" x14ac:dyDescent="0.2">
      <c r="A104" s="114"/>
      <c r="B104" s="114"/>
      <c r="C104" s="115">
        <f t="shared" si="34"/>
        <v>6.5000000000000002E-2</v>
      </c>
      <c r="D104" s="112">
        <f t="shared" si="33"/>
        <v>158.95318000233914</v>
      </c>
      <c r="E104" s="112">
        <f t="shared" si="33"/>
        <v>174.29407134250556</v>
      </c>
      <c r="F104" s="112">
        <f t="shared" si="33"/>
        <v>193.47018551771367</v>
      </c>
      <c r="G104" s="112">
        <f t="shared" si="33"/>
        <v>218.12518945726691</v>
      </c>
      <c r="H104" s="112">
        <f t="shared" si="33"/>
        <v>250.9985280433379</v>
      </c>
      <c r="I104" s="112">
        <f t="shared" si="33"/>
        <v>297.02120206383728</v>
      </c>
      <c r="J104" s="112">
        <f t="shared" si="33"/>
        <v>366.05521309458629</v>
      </c>
    </row>
    <row r="105" spans="1:10" x14ac:dyDescent="0.2">
      <c r="A105" s="114"/>
      <c r="B105" s="114"/>
      <c r="C105" s="115">
        <f t="shared" si="34"/>
        <v>7.0000000000000007E-2</v>
      </c>
      <c r="D105" s="112">
        <f t="shared" si="33"/>
        <v>140.47059224717924</v>
      </c>
      <c r="E105" s="112">
        <f t="shared" si="33"/>
        <v>152.5041179219285</v>
      </c>
      <c r="F105" s="112">
        <f t="shared" si="33"/>
        <v>167.21176041328869</v>
      </c>
      <c r="G105" s="112">
        <f t="shared" si="33"/>
        <v>185.5963135274888</v>
      </c>
      <c r="H105" s="112">
        <f t="shared" si="33"/>
        <v>209.23359610288907</v>
      </c>
      <c r="I105" s="112">
        <f t="shared" si="33"/>
        <v>240.74997287008944</v>
      </c>
      <c r="J105" s="112">
        <f t="shared" si="33"/>
        <v>284.87290034416986</v>
      </c>
    </row>
    <row r="106" spans="1:10" x14ac:dyDescent="0.2">
      <c r="A106" s="114"/>
      <c r="B106" s="114"/>
      <c r="C106" s="115">
        <f t="shared" si="34"/>
        <v>7.5000000000000011E-2</v>
      </c>
      <c r="D106" s="112">
        <f t="shared" si="33"/>
        <v>125.18792699110331</v>
      </c>
      <c r="E106" s="112">
        <f t="shared" si="33"/>
        <v>134.80381648519571</v>
      </c>
      <c r="F106" s="112">
        <f t="shared" si="33"/>
        <v>146.34288387810659</v>
      </c>
      <c r="G106" s="112">
        <f t="shared" si="33"/>
        <v>160.44618846944206</v>
      </c>
      <c r="H106" s="112">
        <f t="shared" si="33"/>
        <v>178.07531920861146</v>
      </c>
      <c r="I106" s="112">
        <f t="shared" si="33"/>
        <v>200.7413444446864</v>
      </c>
      <c r="J106" s="112">
        <f t="shared" si="33"/>
        <v>230.96271142611954</v>
      </c>
    </row>
    <row r="107" spans="1:10" x14ac:dyDescent="0.2">
      <c r="A107" s="114"/>
      <c r="B107" s="114"/>
      <c r="C107" s="115">
        <f t="shared" si="34"/>
        <v>8.0000000000000016E-2</v>
      </c>
      <c r="D107" s="112">
        <f t="shared" si="33"/>
        <v>112.36191263832637</v>
      </c>
      <c r="E107" s="112">
        <f t="shared" si="33"/>
        <v>120.16562360236846</v>
      </c>
      <c r="F107" s="112">
        <f t="shared" si="33"/>
        <v>129.38819110532725</v>
      </c>
      <c r="G107" s="112">
        <f t="shared" si="33"/>
        <v>140.45527210887784</v>
      </c>
      <c r="H107" s="112">
        <f t="shared" si="33"/>
        <v>153.98170444655076</v>
      </c>
      <c r="I107" s="112">
        <f t="shared" si="33"/>
        <v>170.88974486864188</v>
      </c>
      <c r="J107" s="112">
        <f t="shared" si="33"/>
        <v>192.62865398275906</v>
      </c>
    </row>
    <row r="108" spans="1:10" ht="13.1" customHeight="1" x14ac:dyDescent="0.2">
      <c r="A108" s="143" t="s">
        <v>240</v>
      </c>
      <c r="B108" s="114"/>
      <c r="C108" s="115">
        <f t="shared" si="34"/>
        <v>8.500000000000002E-2</v>
      </c>
      <c r="D108" s="112">
        <f t="shared" si="33"/>
        <v>101.4618616640078</v>
      </c>
      <c r="E108" s="112">
        <f t="shared" si="33"/>
        <v>107.87839628073327</v>
      </c>
      <c r="F108" s="112">
        <f t="shared" si="33"/>
        <v>115.36435333357969</v>
      </c>
      <c r="G108" s="112">
        <f t="shared" si="33"/>
        <v>124.21139348694355</v>
      </c>
      <c r="H108" s="112">
        <f t="shared" si="33"/>
        <v>134.82784167098023</v>
      </c>
      <c r="I108" s="112">
        <f t="shared" si="33"/>
        <v>147.80350056258061</v>
      </c>
      <c r="J108" s="112">
        <f t="shared" si="33"/>
        <v>164.0230741770811</v>
      </c>
    </row>
    <row r="109" spans="1:10" ht="13.1" customHeight="1" x14ac:dyDescent="0.2">
      <c r="A109" s="143"/>
      <c r="B109" s="114"/>
      <c r="C109" s="119">
        <f>B49</f>
        <v>8.7205867676605958E-2</v>
      </c>
      <c r="D109" s="112">
        <f t="shared" si="33"/>
        <v>97.16079523751344</v>
      </c>
      <c r="E109" s="112">
        <f t="shared" si="33"/>
        <v>103.06816029230261</v>
      </c>
      <c r="F109" s="112">
        <f t="shared" si="33"/>
        <v>109.92517290855656</v>
      </c>
      <c r="G109" s="112">
        <f t="shared" si="33"/>
        <v>117.98084099403923</v>
      </c>
      <c r="H109" s="112">
        <f t="shared" si="33"/>
        <v>127.57956706208132</v>
      </c>
      <c r="I109" s="112">
        <f t="shared" si="33"/>
        <v>139.21166875490809</v>
      </c>
      <c r="J109" s="112">
        <f t="shared" si="33"/>
        <v>153.59980943784763</v>
      </c>
    </row>
    <row r="110" spans="1:10" ht="13.1" customHeight="1" x14ac:dyDescent="0.2">
      <c r="A110" s="114"/>
      <c r="B110" s="114"/>
      <c r="C110" s="115">
        <f>C108+0.005</f>
        <v>9.0000000000000024E-2</v>
      </c>
      <c r="D110" s="112">
        <f t="shared" ref="D110:J123" si="35">(NPV($C110,$G$48,$H$48,$I$48,$J$48,$K$48,$L$48,$M$48,$N$48,$O$48,($P$48*(1+D$99)/($C110-D$99)+$P$48))+($B$53-$B$54))/$B$57</f>
        <v>92.098798071765032</v>
      </c>
      <c r="E110" s="112">
        <f t="shared" si="35"/>
        <v>97.434380050695594</v>
      </c>
      <c r="F110" s="112">
        <f t="shared" si="35"/>
        <v>103.59082079561547</v>
      </c>
      <c r="G110" s="112">
        <f t="shared" si="35"/>
        <v>110.77333499802202</v>
      </c>
      <c r="H110" s="112">
        <f t="shared" si="35"/>
        <v>119.26176087359335</v>
      </c>
      <c r="I110" s="112">
        <f t="shared" si="35"/>
        <v>129.44787192427899</v>
      </c>
      <c r="J110" s="112">
        <f t="shared" si="35"/>
        <v>141.89756320845029</v>
      </c>
    </row>
    <row r="111" spans="1:10" x14ac:dyDescent="0.2">
      <c r="A111" s="114"/>
      <c r="B111" s="114"/>
      <c r="C111" s="115">
        <f>C110+0.005</f>
        <v>9.5000000000000029E-2</v>
      </c>
      <c r="D111" s="112">
        <f t="shared" si="35"/>
        <v>83.981162674170506</v>
      </c>
      <c r="E111" s="112">
        <f t="shared" si="35"/>
        <v>88.461402465714698</v>
      </c>
      <c r="F111" s="112">
        <f t="shared" si="35"/>
        <v>93.58167651319377</v>
      </c>
      <c r="G111" s="112">
        <f t="shared" si="35"/>
        <v>99.489685029515798</v>
      </c>
      <c r="H111" s="112">
        <f t="shared" si="35"/>
        <v>106.38236163189147</v>
      </c>
      <c r="I111" s="112">
        <f t="shared" si="35"/>
        <v>114.52825216197184</v>
      </c>
      <c r="J111" s="112">
        <f t="shared" si="35"/>
        <v>124.30332079806826</v>
      </c>
    </row>
    <row r="112" spans="1:10" x14ac:dyDescent="0.2">
      <c r="A112" s="114"/>
      <c r="B112" s="114"/>
      <c r="C112" s="115">
        <f>C111+0.005</f>
        <v>0.10000000000000003</v>
      </c>
      <c r="D112" s="112">
        <f t="shared" si="35"/>
        <v>76.886152349619948</v>
      </c>
      <c r="E112" s="112">
        <f t="shared" si="35"/>
        <v>80.680494608909157</v>
      </c>
      <c r="F112" s="112">
        <f t="shared" si="35"/>
        <v>84.980749169436933</v>
      </c>
      <c r="G112" s="112">
        <f t="shared" si="35"/>
        <v>89.895325810040106</v>
      </c>
      <c r="H112" s="112">
        <f t="shared" si="35"/>
        <v>95.565991164582229</v>
      </c>
      <c r="I112" s="112">
        <f t="shared" si="35"/>
        <v>102.18176741154805</v>
      </c>
      <c r="J112" s="112">
        <f t="shared" si="35"/>
        <v>110.00041206705311</v>
      </c>
    </row>
    <row r="113" spans="1:10" x14ac:dyDescent="0.2">
      <c r="A113" s="114"/>
      <c r="B113" s="114"/>
      <c r="C113" s="115">
        <f>C112+0.005</f>
        <v>0.10500000000000004</v>
      </c>
      <c r="D113" s="112">
        <f t="shared" si="35"/>
        <v>70.64061336318548</v>
      </c>
      <c r="E113" s="112">
        <f t="shared" si="35"/>
        <v>73.878470216686978</v>
      </c>
      <c r="F113" s="112">
        <f t="shared" si="35"/>
        <v>77.521059176876122</v>
      </c>
      <c r="G113" s="112">
        <f t="shared" si="35"/>
        <v>81.649326665090513</v>
      </c>
      <c r="H113" s="112">
        <f t="shared" si="35"/>
        <v>86.367346651621247</v>
      </c>
      <c r="I113" s="112">
        <f>(NPV($C113,$G$48,$H$48,$I$48,$J$48,$K$48,$L$48,$M$48,$N$48,$O$48,($P$48*(1+I$99)/($C113-I$99)+$P$48))+($B$53-$B$54))/$B$57</f>
        <v>91.811215866849025</v>
      </c>
      <c r="J113" s="112">
        <f t="shared" si="35"/>
        <v>98.162396617948076</v>
      </c>
    </row>
    <row r="114" spans="1:10" x14ac:dyDescent="0.2">
      <c r="A114" s="114"/>
      <c r="B114" s="114"/>
      <c r="C114" s="119">
        <f>B65</f>
        <v>0.10624760301216089</v>
      </c>
      <c r="D114" s="112">
        <f t="shared" si="35"/>
        <v>69.198023147374869</v>
      </c>
      <c r="E114" s="112">
        <f t="shared" si="35"/>
        <v>72.313610978534712</v>
      </c>
      <c r="F114" s="112">
        <f t="shared" si="35"/>
        <v>75.812667086376308</v>
      </c>
      <c r="G114" s="112">
        <f t="shared" si="35"/>
        <v>79.770630224683359</v>
      </c>
      <c r="H114" s="112">
        <f t="shared" si="35"/>
        <v>84.284115650193698</v>
      </c>
      <c r="I114" s="112">
        <f t="shared" si="35"/>
        <v>89.478906544927099</v>
      </c>
      <c r="J114" s="112">
        <f t="shared" si="35"/>
        <v>95.521859757735569</v>
      </c>
    </row>
    <row r="115" spans="1:10" x14ac:dyDescent="0.2">
      <c r="A115" s="114"/>
      <c r="B115" s="114"/>
      <c r="C115" s="115">
        <f>C113+0.005</f>
        <v>0.11000000000000004</v>
      </c>
      <c r="D115" s="112">
        <f t="shared" si="35"/>
        <v>65.107968804273824</v>
      </c>
      <c r="E115" s="112">
        <f t="shared" si="35"/>
        <v>67.889645538434678</v>
      </c>
      <c r="F115" s="112">
        <f t="shared" si="35"/>
        <v>70.998578358967379</v>
      </c>
      <c r="G115" s="112">
        <f t="shared" si="35"/>
        <v>74.496127782066708</v>
      </c>
      <c r="H115" s="112">
        <f t="shared" si="35"/>
        <v>78.460017128245894</v>
      </c>
      <c r="I115" s="112">
        <f t="shared" si="35"/>
        <v>82.990176381022181</v>
      </c>
      <c r="J115" s="112">
        <f t="shared" si="35"/>
        <v>88.217283211148597</v>
      </c>
    </row>
    <row r="116" spans="1:10" x14ac:dyDescent="0.2">
      <c r="A116" s="114"/>
      <c r="B116" s="114"/>
      <c r="C116" s="115">
        <f t="shared" ref="C116:C123" si="36">C115+0.005</f>
        <v>0.11500000000000005</v>
      </c>
      <c r="D116" s="112">
        <f t="shared" si="35"/>
        <v>60.179068174640264</v>
      </c>
      <c r="E116" s="112">
        <f t="shared" si="35"/>
        <v>62.583332266258388</v>
      </c>
      <c r="F116" s="112">
        <f t="shared" si="35"/>
        <v>65.254736812500724</v>
      </c>
      <c r="G116" s="112">
        <f t="shared" si="35"/>
        <v>68.240424246536293</v>
      </c>
      <c r="H116" s="112">
        <f t="shared" si="35"/>
        <v>71.599322609826316</v>
      </c>
      <c r="I116" s="112">
        <f t="shared" si="35"/>
        <v>75.406074088221658</v>
      </c>
      <c r="J116" s="112">
        <f t="shared" si="35"/>
        <v>79.75664720638774</v>
      </c>
    </row>
    <row r="117" spans="1:10" x14ac:dyDescent="0.2">
      <c r="A117" s="114"/>
      <c r="B117" s="114"/>
      <c r="C117" s="115">
        <f t="shared" si="36"/>
        <v>0.12000000000000005</v>
      </c>
      <c r="D117" s="112">
        <f t="shared" si="35"/>
        <v>55.765651720587641</v>
      </c>
      <c r="E117" s="112">
        <f t="shared" si="35"/>
        <v>57.855082936852149</v>
      </c>
      <c r="F117" s="112">
        <f t="shared" si="35"/>
        <v>60.164454281144494</v>
      </c>
      <c r="G117" s="112">
        <f t="shared" si="35"/>
        <v>62.730422441469315</v>
      </c>
      <c r="H117" s="112">
        <f t="shared" si="35"/>
        <v>65.598269208891168</v>
      </c>
      <c r="I117" s="112">
        <f t="shared" si="35"/>
        <v>68.824596822240778</v>
      </c>
      <c r="J117" s="112">
        <f t="shared" si="35"/>
        <v>72.481101450703648</v>
      </c>
    </row>
    <row r="118" spans="1:10" x14ac:dyDescent="0.2">
      <c r="A118" s="114"/>
      <c r="B118" s="114"/>
      <c r="C118" s="115">
        <f t="shared" si="36"/>
        <v>0.12500000000000006</v>
      </c>
      <c r="D118" s="112">
        <f t="shared" si="35"/>
        <v>51.795597525062306</v>
      </c>
      <c r="E118" s="112">
        <f t="shared" si="35"/>
        <v>53.620437960658037</v>
      </c>
      <c r="F118" s="112">
        <f t="shared" si="35"/>
        <v>55.627762439813338</v>
      </c>
      <c r="G118" s="112">
        <f t="shared" si="35"/>
        <v>57.846384232563942</v>
      </c>
      <c r="H118" s="112">
        <f t="shared" si="35"/>
        <v>60.311519557842395</v>
      </c>
      <c r="I118" s="112">
        <f t="shared" si="35"/>
        <v>63.066670803741829</v>
      </c>
      <c r="J118" s="112">
        <f t="shared" si="35"/>
        <v>66.166215955378689</v>
      </c>
    </row>
    <row r="119" spans="1:10" x14ac:dyDescent="0.2">
      <c r="A119" s="114"/>
      <c r="B119" s="114"/>
      <c r="C119" s="115">
        <f t="shared" si="36"/>
        <v>0.13000000000000006</v>
      </c>
      <c r="D119" s="112">
        <f t="shared" si="35"/>
        <v>48.209408762482383</v>
      </c>
      <c r="E119" s="112">
        <f t="shared" si="35"/>
        <v>49.810378287466257</v>
      </c>
      <c r="F119" s="112">
        <f t="shared" si="35"/>
        <v>51.563821100543834</v>
      </c>
      <c r="G119" s="112">
        <f t="shared" si="35"/>
        <v>53.49260819492919</v>
      </c>
      <c r="H119" s="112">
        <f t="shared" si="35"/>
        <v>55.624425509776138</v>
      </c>
      <c r="I119" s="112">
        <f t="shared" si="35"/>
        <v>57.993111415161657</v>
      </c>
      <c r="J119" s="112">
        <f t="shared" si="35"/>
        <v>60.640466250592496</v>
      </c>
    </row>
    <row r="120" spans="1:10" x14ac:dyDescent="0.2">
      <c r="A120" s="114"/>
      <c r="B120" s="114"/>
      <c r="C120" s="115">
        <f t="shared" si="36"/>
        <v>0.13500000000000006</v>
      </c>
      <c r="D120" s="112">
        <f t="shared" si="35"/>
        <v>44.957579386007936</v>
      </c>
      <c r="E120" s="112">
        <f t="shared" si="35"/>
        <v>46.367964585167485</v>
      </c>
      <c r="F120" s="112">
        <f t="shared" si="35"/>
        <v>47.906566620614242</v>
      </c>
      <c r="G120" s="112">
        <f t="shared" si="35"/>
        <v>49.591702183246419</v>
      </c>
      <c r="H120" s="112">
        <f t="shared" si="35"/>
        <v>51.445351302141795</v>
      </c>
      <c r="I120" s="112">
        <f t="shared" si="35"/>
        <v>53.494121380920909</v>
      </c>
      <c r="J120" s="112">
        <f t="shared" si="35"/>
        <v>55.770532579564346</v>
      </c>
    </row>
    <row r="121" spans="1:10" x14ac:dyDescent="0.2">
      <c r="A121" s="114"/>
      <c r="B121" s="114"/>
      <c r="C121" s="115">
        <f t="shared" si="36"/>
        <v>0.14000000000000007</v>
      </c>
      <c r="D121" s="112">
        <f t="shared" si="35"/>
        <v>41.998592271674632</v>
      </c>
      <c r="E121" s="112">
        <f t="shared" si="35"/>
        <v>43.245816850506792</v>
      </c>
      <c r="F121" s="112">
        <f t="shared" si="35"/>
        <v>44.60149574054175</v>
      </c>
      <c r="G121" s="112">
        <f t="shared" si="35"/>
        <v>46.080418166034455</v>
      </c>
      <c r="H121" s="112">
        <f t="shared" si="35"/>
        <v>47.700190346335951</v>
      </c>
      <c r="I121" s="112">
        <f t="shared" si="35"/>
        <v>49.481939744667628</v>
      </c>
      <c r="J121" s="112">
        <f t="shared" si="35"/>
        <v>51.45124171124472</v>
      </c>
    </row>
    <row r="122" spans="1:10" x14ac:dyDescent="0.2">
      <c r="A122" s="114"/>
      <c r="B122" s="114"/>
      <c r="C122" s="115">
        <f t="shared" si="36"/>
        <v>0.14500000000000007</v>
      </c>
      <c r="D122" s="112">
        <f t="shared" si="35"/>
        <v>39.297379529526246</v>
      </c>
      <c r="E122" s="112">
        <f t="shared" si="35"/>
        <v>40.404199117596676</v>
      </c>
      <c r="F122" s="112">
        <f t="shared" si="35"/>
        <v>41.603253671339665</v>
      </c>
      <c r="G122" s="112">
        <f t="shared" si="35"/>
        <v>42.906573838451607</v>
      </c>
      <c r="H122" s="112">
        <f t="shared" si="35"/>
        <v>44.328377657119169</v>
      </c>
      <c r="I122" s="112">
        <f t="shared" si="35"/>
        <v>45.885591363278898</v>
      </c>
      <c r="J122" s="112">
        <f t="shared" si="35"/>
        <v>47.598526440054577</v>
      </c>
    </row>
    <row r="123" spans="1:10" x14ac:dyDescent="0.2">
      <c r="A123" s="114"/>
      <c r="B123" s="114"/>
      <c r="C123" s="115">
        <f t="shared" si="36"/>
        <v>0.15000000000000008</v>
      </c>
      <c r="D123" s="112">
        <f t="shared" si="35"/>
        <v>36.824125148953186</v>
      </c>
      <c r="E123" s="112">
        <f t="shared" si="35"/>
        <v>37.80954634131264</v>
      </c>
      <c r="F123" s="112">
        <f t="shared" si="35"/>
        <v>38.873801229060867</v>
      </c>
      <c r="G123" s="112">
        <f t="shared" si="35"/>
        <v>40.026744024121442</v>
      </c>
      <c r="H123" s="112">
        <f t="shared" si="35"/>
        <v>41.279942714404669</v>
      </c>
      <c r="I123" s="112">
        <f t="shared" si="35"/>
        <v>42.647068558350014</v>
      </c>
      <c r="J123" s="112">
        <f t="shared" si="35"/>
        <v>44.144396863623484</v>
      </c>
    </row>
    <row r="125" spans="1:10" ht="18.350000000000001" x14ac:dyDescent="0.3">
      <c r="A125" s="134"/>
      <c r="H125" s="122" t="s">
        <v>283</v>
      </c>
      <c r="I125" s="122" t="s">
        <v>284</v>
      </c>
    </row>
    <row r="126" spans="1:10" ht="27.2" x14ac:dyDescent="0.3">
      <c r="A126" s="134"/>
      <c r="B126" s="131" t="s">
        <v>286</v>
      </c>
      <c r="C126" s="122" t="s">
        <v>284</v>
      </c>
      <c r="H126" s="122"/>
      <c r="I126" s="123">
        <f>B90</f>
        <v>245.36569403903559</v>
      </c>
    </row>
    <row r="127" spans="1:10" ht="18.350000000000001" x14ac:dyDescent="0.3">
      <c r="A127" s="134" t="s">
        <v>293</v>
      </c>
      <c r="B127" s="122"/>
      <c r="C127" s="123">
        <f>B90</f>
        <v>245.36569403903559</v>
      </c>
      <c r="H127" s="124">
        <v>0.05</v>
      </c>
      <c r="I127" s="125">
        <f t="dataTable" ref="I127:I138" dt2D="0" dtr="0" r1="B81"/>
        <v>247.41126289873077</v>
      </c>
    </row>
    <row r="128" spans="1:10" ht="18.350000000000001" x14ac:dyDescent="0.3">
      <c r="A128" s="134"/>
      <c r="B128" s="124">
        <v>0</v>
      </c>
      <c r="C128" s="125">
        <f t="dataTable" ref="C128:C137" dt2D="0" dtr="0" r1="B82" ca="1"/>
        <v>179.05911679468653</v>
      </c>
      <c r="H128" s="124">
        <v>5.0200000000000002E-2</v>
      </c>
      <c r="I128" s="125">
        <v>245.72211106119798</v>
      </c>
    </row>
    <row r="129" spans="1:9" ht="18.350000000000001" x14ac:dyDescent="0.3">
      <c r="A129" s="134"/>
      <c r="B129" s="124">
        <v>5.0000000000000001E-3</v>
      </c>
      <c r="C129" s="125">
        <v>196.27603698484759</v>
      </c>
      <c r="H129" s="124">
        <v>5.5E-2</v>
      </c>
      <c r="I129" s="125">
        <v>210.35145520859174</v>
      </c>
    </row>
    <row r="130" spans="1:9" ht="18.350000000000001" x14ac:dyDescent="0.3">
      <c r="A130" s="134"/>
      <c r="B130" s="126">
        <v>0.01</v>
      </c>
      <c r="C130" s="125">
        <v>217.7712501692383</v>
      </c>
      <c r="H130" s="126">
        <v>0.06</v>
      </c>
      <c r="I130" s="125">
        <v>181.70966800419689</v>
      </c>
    </row>
    <row r="131" spans="1:9" ht="18.350000000000001" x14ac:dyDescent="0.3">
      <c r="A131" s="134"/>
      <c r="B131" s="124">
        <v>1.4999999999999999E-2</v>
      </c>
      <c r="C131" s="125">
        <v>245.36569403903559</v>
      </c>
      <c r="H131" s="124">
        <v>6.5000000000000002E-2</v>
      </c>
      <c r="I131" s="125">
        <v>158.95318000233914</v>
      </c>
    </row>
    <row r="132" spans="1:9" ht="18.350000000000001" x14ac:dyDescent="0.3">
      <c r="A132" s="134"/>
      <c r="B132" s="126">
        <v>0.02</v>
      </c>
      <c r="C132" s="125">
        <v>282.08453063613348</v>
      </c>
      <c r="H132" s="124">
        <v>7.0000000000000007E-2</v>
      </c>
      <c r="I132" s="125">
        <v>140.47059224717924</v>
      </c>
    </row>
    <row r="133" spans="1:9" ht="18.350000000000001" x14ac:dyDescent="0.3">
      <c r="A133" s="134"/>
      <c r="B133" s="124">
        <v>2.5000000000000001E-2</v>
      </c>
      <c r="C133" s="125">
        <v>333.34980198789776</v>
      </c>
      <c r="H133" s="124">
        <v>7.4999999999999997E-2</v>
      </c>
      <c r="I133" s="125">
        <v>125.18792699110334</v>
      </c>
    </row>
    <row r="134" spans="1:9" ht="18.350000000000001" x14ac:dyDescent="0.3">
      <c r="A134" s="134"/>
      <c r="B134" s="126">
        <v>0.03</v>
      </c>
      <c r="C134" s="125">
        <v>409.94063770742241</v>
      </c>
      <c r="H134" s="124">
        <v>0.08</v>
      </c>
      <c r="I134" s="125">
        <v>112.36191263832639</v>
      </c>
    </row>
    <row r="135" spans="1:9" ht="18.350000000000001" x14ac:dyDescent="0.3">
      <c r="A135" s="134"/>
      <c r="B135" s="124">
        <v>3.5000000000000003E-2</v>
      </c>
      <c r="C135" s="125">
        <v>536.7796875138547</v>
      </c>
      <c r="H135" s="124">
        <v>8.5000000000000006E-2</v>
      </c>
      <c r="I135" s="125">
        <v>101.4618616640078</v>
      </c>
    </row>
    <row r="136" spans="1:9" ht="18.350000000000001" x14ac:dyDescent="0.3">
      <c r="A136" s="134"/>
      <c r="B136" s="126">
        <v>0.04</v>
      </c>
      <c r="C136" s="125">
        <v>787.454774566168</v>
      </c>
      <c r="H136" s="124">
        <v>0.09</v>
      </c>
      <c r="I136" s="125">
        <v>92.098798071765032</v>
      </c>
    </row>
    <row r="137" spans="1:9" ht="18.350000000000001" x14ac:dyDescent="0.3">
      <c r="A137" s="134"/>
      <c r="B137" s="124">
        <v>4.4999999999999998E-2</v>
      </c>
      <c r="C137" s="125">
        <v>1516.2893863661141</v>
      </c>
      <c r="H137" s="124">
        <v>9.5000000000000001E-2</v>
      </c>
      <c r="I137" s="125">
        <v>83.981162674170534</v>
      </c>
    </row>
    <row r="138" spans="1:9" ht="18.350000000000001" x14ac:dyDescent="0.3">
      <c r="A138" s="134"/>
      <c r="H138" s="124">
        <v>0.1</v>
      </c>
      <c r="I138" s="125">
        <v>76.886152349619948</v>
      </c>
    </row>
    <row r="139" spans="1:9" ht="18.350000000000001" x14ac:dyDescent="0.3">
      <c r="A139" s="134"/>
    </row>
    <row r="140" spans="1:9" ht="18.350000000000001" x14ac:dyDescent="0.3">
      <c r="A140" s="134"/>
    </row>
    <row r="141" spans="1:9" ht="18.350000000000001" x14ac:dyDescent="0.3">
      <c r="A141" s="134"/>
    </row>
    <row r="142" spans="1:9" ht="18.350000000000001" x14ac:dyDescent="0.3">
      <c r="A142" s="134"/>
    </row>
    <row r="143" spans="1:9" ht="18.350000000000001" x14ac:dyDescent="0.3">
      <c r="A143" s="134"/>
    </row>
    <row r="144" spans="1:9" ht="18.350000000000001" x14ac:dyDescent="0.3">
      <c r="A144" s="134"/>
    </row>
    <row r="145" spans="1:9" ht="27.2" x14ac:dyDescent="0.3">
      <c r="A145" s="134"/>
      <c r="B145" s="131" t="s">
        <v>286</v>
      </c>
      <c r="C145" s="122" t="s">
        <v>284</v>
      </c>
      <c r="H145" s="122" t="s">
        <v>283</v>
      </c>
      <c r="I145" s="122" t="s">
        <v>284</v>
      </c>
    </row>
    <row r="146" spans="1:9" ht="18.350000000000001" x14ac:dyDescent="0.3">
      <c r="A146" s="134" t="s">
        <v>288</v>
      </c>
      <c r="B146" s="122"/>
      <c r="C146" s="123">
        <f>B74</f>
        <v>84.284115650193698</v>
      </c>
      <c r="H146" s="122"/>
      <c r="I146" s="123">
        <f>B74</f>
        <v>84.284115650193698</v>
      </c>
    </row>
    <row r="147" spans="1:9" ht="18.350000000000001" x14ac:dyDescent="0.3">
      <c r="A147" s="134"/>
      <c r="B147" s="124">
        <v>0</v>
      </c>
      <c r="C147" s="125">
        <f t="dataTable" ref="C147:C156" dt2D="0" dtr="0" r1="B66" ca="1"/>
        <v>61.610690121688513</v>
      </c>
      <c r="H147" s="124">
        <v>0.05</v>
      </c>
      <c r="I147" s="125">
        <f t="dataTable" ref="I147:I158" dt2D="0" dtr="0" r1="B65"/>
        <v>546.208500584332</v>
      </c>
    </row>
    <row r="148" spans="1:9" ht="18.350000000000001" x14ac:dyDescent="0.3">
      <c r="A148" s="134"/>
      <c r="B148" s="124">
        <v>5.0000000000000001E-3</v>
      </c>
      <c r="C148" s="125">
        <v>63.890006475037076</v>
      </c>
      <c r="H148" s="124">
        <v>5.5E-2</v>
      </c>
      <c r="I148" s="125">
        <v>398.23011327297195</v>
      </c>
    </row>
    <row r="149" spans="1:9" ht="18.350000000000001" x14ac:dyDescent="0.3">
      <c r="A149" s="134"/>
      <c r="B149" s="126">
        <v>0.01</v>
      </c>
      <c r="C149" s="125">
        <v>66.406140814705836</v>
      </c>
      <c r="H149" s="124">
        <v>0.06</v>
      </c>
      <c r="I149" s="125">
        <v>309.74630645838499</v>
      </c>
    </row>
    <row r="150" spans="1:9" ht="18.350000000000001" x14ac:dyDescent="0.3">
      <c r="A150" s="134"/>
      <c r="B150" s="124">
        <v>1.4999999999999999E-2</v>
      </c>
      <c r="C150" s="125">
        <v>69.198023147374855</v>
      </c>
      <c r="H150" s="124">
        <v>6.5000000000000002E-2</v>
      </c>
      <c r="I150" s="125">
        <v>250.99852804333793</v>
      </c>
    </row>
    <row r="151" spans="1:9" ht="18.350000000000001" x14ac:dyDescent="0.3">
      <c r="A151" s="134"/>
      <c r="B151" s="126">
        <v>0.02</v>
      </c>
      <c r="C151" s="125">
        <v>72.313610978534697</v>
      </c>
      <c r="H151" s="124">
        <v>7.0000000000000007E-2</v>
      </c>
      <c r="I151" s="125">
        <v>209.23359610288909</v>
      </c>
    </row>
    <row r="152" spans="1:9" ht="18.350000000000001" x14ac:dyDescent="0.3">
      <c r="A152" s="134"/>
      <c r="B152" s="124">
        <v>2.5000000000000001E-2</v>
      </c>
      <c r="C152" s="125">
        <v>75.812667086376308</v>
      </c>
      <c r="H152" s="124">
        <v>7.4999999999999997E-2</v>
      </c>
      <c r="I152" s="125">
        <v>178.07531920861149</v>
      </c>
    </row>
    <row r="153" spans="1:9" ht="18.350000000000001" x14ac:dyDescent="0.3">
      <c r="A153" s="134"/>
      <c r="B153" s="126">
        <v>0.03</v>
      </c>
      <c r="C153" s="125">
        <v>79.770630224683359</v>
      </c>
      <c r="H153" s="124">
        <v>0.08</v>
      </c>
      <c r="I153" s="125">
        <v>153.98170444655079</v>
      </c>
    </row>
    <row r="154" spans="1:9" ht="18.350000000000001" x14ac:dyDescent="0.3">
      <c r="A154" s="134"/>
      <c r="B154" s="124">
        <v>3.5000000000000003E-2</v>
      </c>
      <c r="C154" s="125">
        <v>84.284115650193698</v>
      </c>
      <c r="H154" s="124">
        <v>8.5000000000000006E-2</v>
      </c>
      <c r="I154" s="125">
        <v>134.82784167098023</v>
      </c>
    </row>
    <row r="155" spans="1:9" ht="18.350000000000001" x14ac:dyDescent="0.3">
      <c r="A155" s="134"/>
      <c r="B155" s="126">
        <v>0.04</v>
      </c>
      <c r="C155" s="125">
        <v>89.478906544927099</v>
      </c>
      <c r="H155" s="124">
        <v>0.09</v>
      </c>
      <c r="I155" s="125">
        <v>119.26176087359342</v>
      </c>
    </row>
    <row r="156" spans="1:9" ht="18.350000000000001" x14ac:dyDescent="0.3">
      <c r="A156" s="134"/>
      <c r="B156" s="124">
        <v>4.4999999999999998E-2</v>
      </c>
      <c r="C156" s="125">
        <v>95.521859757735569</v>
      </c>
      <c r="H156" s="124">
        <v>9.5000000000000001E-2</v>
      </c>
      <c r="I156" s="125">
        <v>106.38236163189153</v>
      </c>
    </row>
    <row r="157" spans="1:9" ht="18.350000000000001" x14ac:dyDescent="0.3">
      <c r="A157" s="134"/>
      <c r="H157" s="124">
        <v>0.1</v>
      </c>
      <c r="I157" s="125">
        <v>95.565991164582272</v>
      </c>
    </row>
    <row r="158" spans="1:9" ht="18.350000000000001" x14ac:dyDescent="0.3">
      <c r="A158" s="134"/>
      <c r="H158" s="124">
        <v>0.1062</v>
      </c>
      <c r="I158" s="125">
        <v>84.362185405391571</v>
      </c>
    </row>
    <row r="159" spans="1:9" ht="18.350000000000001" x14ac:dyDescent="0.3">
      <c r="A159" s="134"/>
    </row>
    <row r="160" spans="1:9" ht="18.350000000000001" x14ac:dyDescent="0.3">
      <c r="A160" s="134"/>
    </row>
    <row r="161" spans="1:9" ht="18.350000000000001" x14ac:dyDescent="0.3">
      <c r="A161" s="134"/>
    </row>
    <row r="167" spans="1:9" ht="25.85" x14ac:dyDescent="0.2">
      <c r="B167" s="131" t="s">
        <v>286</v>
      </c>
      <c r="C167" s="122" t="s">
        <v>284</v>
      </c>
      <c r="H167" s="122" t="s">
        <v>283</v>
      </c>
      <c r="I167" s="122" t="s">
        <v>284</v>
      </c>
    </row>
    <row r="168" spans="1:9" x14ac:dyDescent="0.2">
      <c r="A168" t="s">
        <v>292</v>
      </c>
      <c r="B168" s="122"/>
      <c r="C168" s="123">
        <f>B58</f>
        <v>109.92517290855656</v>
      </c>
      <c r="H168" s="122"/>
      <c r="I168" s="123">
        <f>B58</f>
        <v>109.92517290855656</v>
      </c>
    </row>
    <row r="169" spans="1:9" x14ac:dyDescent="0.2">
      <c r="B169" s="124">
        <v>0</v>
      </c>
      <c r="C169" s="125">
        <f t="dataTable" ref="C169:C178" dt2D="0" dtr="0" r1="B50"/>
        <v>83.503127304141088</v>
      </c>
      <c r="H169" s="124">
        <v>0.05</v>
      </c>
      <c r="I169" s="125">
        <f t="dataTable" ref="I169:I180" dt2D="0" dtr="0" r1="B49" ca="1"/>
        <v>337.05043420441115</v>
      </c>
    </row>
    <row r="170" spans="1:9" x14ac:dyDescent="0.2">
      <c r="B170" s="124">
        <v>5.0000000000000001E-3</v>
      </c>
      <c r="C170" s="125">
        <v>87.501883887015182</v>
      </c>
      <c r="H170" s="124">
        <v>5.5E-2</v>
      </c>
      <c r="I170" s="125">
        <v>272.97767456338516</v>
      </c>
    </row>
    <row r="171" spans="1:9" x14ac:dyDescent="0.2">
      <c r="B171" s="126">
        <v>0.01</v>
      </c>
      <c r="C171" s="125">
        <v>92.018574754317427</v>
      </c>
      <c r="H171" s="124">
        <v>0.06</v>
      </c>
      <c r="I171" s="125">
        <v>227.43703888069268</v>
      </c>
    </row>
    <row r="172" spans="1:9" x14ac:dyDescent="0.2">
      <c r="B172" s="124">
        <v>1.4999999999999999E-2</v>
      </c>
      <c r="C172" s="125">
        <v>97.16079523751344</v>
      </c>
      <c r="H172" s="124">
        <v>6.5000000000000002E-2</v>
      </c>
      <c r="I172" s="125">
        <v>193.4701855177137</v>
      </c>
    </row>
    <row r="173" spans="1:9" x14ac:dyDescent="0.2">
      <c r="B173" s="126">
        <v>0.02</v>
      </c>
      <c r="C173" s="125">
        <v>103.06816029230261</v>
      </c>
      <c r="H173" s="124">
        <v>7.0000000000000007E-2</v>
      </c>
      <c r="I173" s="125">
        <v>167.21176041328869</v>
      </c>
    </row>
    <row r="174" spans="1:9" x14ac:dyDescent="0.2">
      <c r="B174" s="124">
        <v>2.5000000000000001E-2</v>
      </c>
      <c r="C174" s="125">
        <v>109.92517290855656</v>
      </c>
      <c r="H174" s="124">
        <v>7.4999999999999997E-2</v>
      </c>
      <c r="I174" s="125">
        <v>146.34288387810662</v>
      </c>
    </row>
    <row r="175" spans="1:9" x14ac:dyDescent="0.2">
      <c r="B175" s="126">
        <v>0.03</v>
      </c>
      <c r="C175" s="125">
        <v>117.98084099403923</v>
      </c>
      <c r="H175" s="124">
        <v>0.08</v>
      </c>
      <c r="I175" s="125">
        <v>129.38819110532728</v>
      </c>
    </row>
    <row r="176" spans="1:9" x14ac:dyDescent="0.2">
      <c r="B176" s="124">
        <v>3.5000000000000003E-2</v>
      </c>
      <c r="C176" s="125">
        <v>127.57956706208132</v>
      </c>
      <c r="H176" s="124">
        <v>8.5000000000000006E-2</v>
      </c>
      <c r="I176" s="125">
        <v>115.36435333357969</v>
      </c>
    </row>
    <row r="177" spans="2:9" x14ac:dyDescent="0.2">
      <c r="B177" s="126">
        <v>0.04</v>
      </c>
      <c r="C177" s="125">
        <v>139.21166875490809</v>
      </c>
      <c r="H177" s="124">
        <v>0.09</v>
      </c>
      <c r="I177" s="125">
        <v>103.5908207956155</v>
      </c>
    </row>
    <row r="178" spans="2:9" x14ac:dyDescent="0.2">
      <c r="B178" s="124">
        <v>4.4999999999999998E-2</v>
      </c>
      <c r="C178" s="125">
        <v>153.59980943784763</v>
      </c>
      <c r="H178" s="124">
        <v>9.1700000000000004E-2</v>
      </c>
      <c r="I178" s="125">
        <v>100.00982228209335</v>
      </c>
    </row>
    <row r="179" spans="2:9" x14ac:dyDescent="0.2">
      <c r="H179" s="124">
        <v>9.5000000000000001E-2</v>
      </c>
      <c r="I179" s="125">
        <v>93.581676513193813</v>
      </c>
    </row>
    <row r="180" spans="2:9" x14ac:dyDescent="0.2">
      <c r="H180" s="124">
        <v>0.1</v>
      </c>
      <c r="I180" s="125">
        <v>84.980749169436962</v>
      </c>
    </row>
  </sheetData>
  <mergeCells count="3">
    <mergeCell ref="Q32:AB33"/>
    <mergeCell ref="A108:A109"/>
    <mergeCell ref="C2:D2"/>
  </mergeCells>
  <conditionalFormatting sqref="B62 B78 B94">
    <cfRule type="containsText" dxfId="1" priority="14" operator="containsText" text="BUY">
      <formula>NOT(ISERROR(SEARCH("BUY",B62)))</formula>
    </cfRule>
    <cfRule type="containsText" dxfId="0" priority="15" operator="containsText" text="SELL">
      <formula>NOT(ISERROR(SEARCH("SELL",B62)))</formula>
    </cfRule>
  </conditionalFormatting>
  <conditionalFormatting sqref="B94 B78 B62">
    <cfRule type="colorScale" priority="16">
      <colorScale>
        <cfvo type="min"/>
        <cfvo type="max"/>
        <color rgb="FFFF0000"/>
        <color rgb="FF00B050"/>
      </colorScale>
    </cfRule>
  </conditionalFormatting>
  <conditionalFormatting sqref="D100:J123">
    <cfRule type="colorScale" priority="1">
      <colorScale>
        <cfvo type="formula" val="$B$2/3"/>
        <cfvo type="formula" val="$B$2"/>
        <cfvo type="formula" val="$B$2*2"/>
        <color rgb="FFFF0000"/>
        <color rgb="FFFFFF00"/>
        <color rgb="FF00B050"/>
      </colorScale>
    </cfRule>
    <cfRule type="colorScale" priority="2">
      <colorScale>
        <cfvo type="formula" val="$B$2/2"/>
        <cfvo type="formula" val="$B$2"/>
        <cfvo type="formula" val="$B$2*2"/>
        <color rgb="FFFF0000"/>
        <color rgb="FFFFFF00"/>
        <color rgb="FF00B050"/>
      </colorScale>
    </cfRule>
    <cfRule type="colorScale" priority="3">
      <colorScale>
        <cfvo type="formula" val="$B$2*0.75"/>
        <cfvo type="formula" val="$B$2"/>
        <cfvo type="formula" val="$B$2*1.25"/>
        <color rgb="FFFF0000"/>
        <color rgb="FFFFFF00"/>
        <color rgb="FF00B050"/>
      </colorScale>
    </cfRule>
    <cfRule type="colorScale" priority="4">
      <colorScale>
        <cfvo type="percentile" val="10"/>
        <cfvo type="percentile" val="50"/>
        <cfvo type="percentile" val="90"/>
        <color rgb="FFF8696B"/>
        <color rgb="FFFFEB84"/>
        <color rgb="FF63BE7B"/>
      </colorScale>
    </cfRule>
  </conditionalFormatting>
  <conditionalFormatting sqref="I169:I180 I147:I158 I127:I138 C169:C178 C147:C156 C128:C137">
    <cfRule type="colorScale" priority="5">
      <colorScale>
        <cfvo type="formula" val="$B$2/1.5"/>
        <cfvo type="formula" val="$B$2"/>
        <cfvo type="formula" val="$B$2*1.5"/>
        <color rgb="FFFF0000"/>
        <color rgb="FFFFFF00"/>
        <color rgb="FF00B050"/>
      </colorScale>
    </cfRule>
    <cfRule type="colorScale" priority="6">
      <colorScale>
        <cfvo type="num" val="120"/>
        <cfvo type="num" val="140"/>
        <cfvo type="num" val="190"/>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1152E-8450-4E40-8869-4B00C6845C16}">
  <dimension ref="B1:D83"/>
  <sheetViews>
    <sheetView showGridLines="0" zoomScale="94" workbookViewId="0">
      <selection activeCell="D8" sqref="D8"/>
    </sheetView>
  </sheetViews>
  <sheetFormatPr defaultColWidth="11.5" defaultRowHeight="12.9" x14ac:dyDescent="0.2"/>
  <cols>
    <col min="2" max="2" width="27.875" bestFit="1" customWidth="1"/>
    <col min="3" max="3" width="20.375" customWidth="1"/>
  </cols>
  <sheetData>
    <row r="1" spans="2:4" ht="13.6" x14ac:dyDescent="0.25">
      <c r="B1" s="1" t="s">
        <v>246</v>
      </c>
    </row>
    <row r="2" spans="2:4" x14ac:dyDescent="0.2">
      <c r="B2" s="85" t="s">
        <v>218</v>
      </c>
      <c r="C2" s="86"/>
    </row>
    <row r="3" spans="2:4" x14ac:dyDescent="0.2">
      <c r="B3" s="40" t="s">
        <v>34</v>
      </c>
      <c r="C3" s="60">
        <f>IS!F23</f>
        <v>20.3</v>
      </c>
    </row>
    <row r="4" spans="2:4" x14ac:dyDescent="0.2">
      <c r="B4" s="40" t="s">
        <v>219</v>
      </c>
      <c r="C4" s="60">
        <f>BS!F48+BS!F49+BS!F50</f>
        <v>305</v>
      </c>
    </row>
    <row r="5" spans="2:4" x14ac:dyDescent="0.2">
      <c r="B5" s="40" t="s">
        <v>220</v>
      </c>
      <c r="C5" s="87">
        <f>BS!F56</f>
        <v>2572.9</v>
      </c>
      <c r="D5" t="s">
        <v>269</v>
      </c>
    </row>
    <row r="6" spans="2:4" ht="19.05" customHeight="1" x14ac:dyDescent="0.2">
      <c r="B6" s="40" t="s">
        <v>225</v>
      </c>
      <c r="C6" s="88">
        <f>C3/(C5+C4)</f>
        <v>7.0537544737482192E-3</v>
      </c>
      <c r="D6" t="s">
        <v>226</v>
      </c>
    </row>
    <row r="7" spans="2:4" x14ac:dyDescent="0.2">
      <c r="B7" s="40" t="s">
        <v>227</v>
      </c>
      <c r="C7" s="89">
        <f>((C5/(C4+C5))*C14)+((C4/(C4+C5))*C6)</f>
        <v>3.8743404953088437E-2</v>
      </c>
    </row>
    <row r="8" spans="2:4" ht="19.05" customHeight="1" x14ac:dyDescent="0.2">
      <c r="B8" s="40" t="s">
        <v>221</v>
      </c>
      <c r="C8" s="60">
        <f>IS!F29</f>
        <v>168.9</v>
      </c>
    </row>
    <row r="9" spans="2:4" x14ac:dyDescent="0.2">
      <c r="B9" s="40" t="s">
        <v>222</v>
      </c>
      <c r="C9" s="60">
        <f>IS!F28</f>
        <v>710.4</v>
      </c>
    </row>
    <row r="10" spans="2:4" x14ac:dyDescent="0.2">
      <c r="B10" s="40" t="s">
        <v>223</v>
      </c>
      <c r="C10" s="72">
        <f>C8/C9</f>
        <v>0.2377533783783784</v>
      </c>
    </row>
    <row r="11" spans="2:4" x14ac:dyDescent="0.2">
      <c r="B11" s="40" t="s">
        <v>224</v>
      </c>
      <c r="C11" s="92">
        <f>C7*(1-C10)</f>
        <v>2.9532029535610061E-2</v>
      </c>
    </row>
    <row r="12" spans="2:4" x14ac:dyDescent="0.2">
      <c r="B12" s="40"/>
      <c r="C12" s="60"/>
    </row>
    <row r="13" spans="2:4" x14ac:dyDescent="0.2">
      <c r="B13" s="49" t="s">
        <v>233</v>
      </c>
      <c r="C13" s="87"/>
    </row>
    <row r="14" spans="2:4" x14ac:dyDescent="0.2">
      <c r="B14" s="40" t="s">
        <v>229</v>
      </c>
      <c r="C14" s="88">
        <v>4.2500000000000003E-2</v>
      </c>
      <c r="D14" t="s">
        <v>228</v>
      </c>
    </row>
    <row r="15" spans="2:4" x14ac:dyDescent="0.2">
      <c r="B15" s="40" t="s">
        <v>230</v>
      </c>
      <c r="C15" s="60">
        <v>1.18</v>
      </c>
      <c r="D15" t="s">
        <v>231</v>
      </c>
    </row>
    <row r="16" spans="2:4" x14ac:dyDescent="0.2">
      <c r="B16" s="40" t="s">
        <v>232</v>
      </c>
      <c r="C16" s="58">
        <v>8.3000000000000004E-2</v>
      </c>
      <c r="D16" t="s">
        <v>235</v>
      </c>
    </row>
    <row r="17" spans="2:3" x14ac:dyDescent="0.2">
      <c r="B17" s="40" t="s">
        <v>234</v>
      </c>
      <c r="C17" s="93">
        <f>C14+C15*(C16-C14)</f>
        <v>9.0290000000000009E-2</v>
      </c>
    </row>
    <row r="18" spans="2:3" x14ac:dyDescent="0.2">
      <c r="B18" s="40"/>
      <c r="C18" s="60"/>
    </row>
    <row r="19" spans="2:3" x14ac:dyDescent="0.2">
      <c r="B19" s="49" t="s">
        <v>236</v>
      </c>
      <c r="C19" s="87"/>
    </row>
    <row r="20" spans="2:3" x14ac:dyDescent="0.2">
      <c r="B20" s="40" t="s">
        <v>208</v>
      </c>
      <c r="C20" s="60">
        <f>SUM(C4:C5)</f>
        <v>2877.9</v>
      </c>
    </row>
    <row r="21" spans="2:3" x14ac:dyDescent="0.2">
      <c r="B21" s="40" t="s">
        <v>59</v>
      </c>
      <c r="C21" s="60">
        <f>IS!F40*IS!A2</f>
        <v>53817.255999999994</v>
      </c>
    </row>
    <row r="22" spans="2:3" x14ac:dyDescent="0.2">
      <c r="B22" s="40" t="s">
        <v>237</v>
      </c>
      <c r="C22" s="60">
        <f>SUM(C20:C21)</f>
        <v>56695.155999999995</v>
      </c>
    </row>
    <row r="23" spans="2:3" x14ac:dyDescent="0.2">
      <c r="B23" s="40"/>
      <c r="C23" s="60"/>
    </row>
    <row r="24" spans="2:3" x14ac:dyDescent="0.2">
      <c r="B24" s="40" t="s">
        <v>238</v>
      </c>
      <c r="C24" s="91">
        <f>C20/C22</f>
        <v>5.0760950371139299E-2</v>
      </c>
    </row>
    <row r="25" spans="2:3" x14ac:dyDescent="0.2">
      <c r="B25" s="40" t="s">
        <v>239</v>
      </c>
      <c r="C25" s="91">
        <f>C21/C22</f>
        <v>0.94923904962886063</v>
      </c>
    </row>
    <row r="26" spans="2:3" x14ac:dyDescent="0.2">
      <c r="B26" s="40"/>
      <c r="C26" s="60"/>
    </row>
    <row r="27" spans="2:3" x14ac:dyDescent="0.2">
      <c r="B27" s="49" t="s">
        <v>240</v>
      </c>
      <c r="C27" s="92">
        <f>(C24*C11)+(C25*C17)</f>
        <v>8.7205867676605958E-2</v>
      </c>
    </row>
    <row r="28" spans="2:3" x14ac:dyDescent="0.2">
      <c r="C28" s="46"/>
    </row>
    <row r="29" spans="2:3" ht="13.6" x14ac:dyDescent="0.25">
      <c r="B29" s="1" t="s">
        <v>245</v>
      </c>
    </row>
    <row r="30" spans="2:3" x14ac:dyDescent="0.2">
      <c r="B30" s="85" t="s">
        <v>218</v>
      </c>
      <c r="C30" s="86"/>
    </row>
    <row r="31" spans="2:3" x14ac:dyDescent="0.2">
      <c r="B31" s="40" t="s">
        <v>34</v>
      </c>
      <c r="C31" s="60">
        <v>20.3</v>
      </c>
    </row>
    <row r="32" spans="2:3" x14ac:dyDescent="0.2">
      <c r="B32" s="40" t="s">
        <v>219</v>
      </c>
      <c r="C32" s="60">
        <v>305</v>
      </c>
    </row>
    <row r="33" spans="2:4" x14ac:dyDescent="0.2">
      <c r="B33" s="40" t="s">
        <v>220</v>
      </c>
      <c r="C33" s="87">
        <v>2572.9</v>
      </c>
      <c r="D33" t="s">
        <v>269</v>
      </c>
    </row>
    <row r="34" spans="2:4" x14ac:dyDescent="0.2">
      <c r="B34" s="40" t="s">
        <v>225</v>
      </c>
      <c r="C34" s="88">
        <f>C31/(C33+C32)</f>
        <v>7.0537544737482192E-3</v>
      </c>
      <c r="D34" t="s">
        <v>226</v>
      </c>
    </row>
    <row r="35" spans="2:4" x14ac:dyDescent="0.2">
      <c r="B35" s="40" t="s">
        <v>227</v>
      </c>
      <c r="C35" s="89">
        <f>((C33/(C32+C33))*C42)+((C32/(C32+C33))*C34)</f>
        <v>3.8743404953088437E-2</v>
      </c>
    </row>
    <row r="36" spans="2:4" x14ac:dyDescent="0.2">
      <c r="B36" s="40" t="s">
        <v>221</v>
      </c>
      <c r="C36" s="60">
        <v>168.9</v>
      </c>
    </row>
    <row r="37" spans="2:4" x14ac:dyDescent="0.2">
      <c r="B37" s="40" t="s">
        <v>222</v>
      </c>
      <c r="C37" s="60">
        <v>710.4</v>
      </c>
    </row>
    <row r="38" spans="2:4" x14ac:dyDescent="0.2">
      <c r="B38" s="40" t="s">
        <v>223</v>
      </c>
      <c r="C38" s="72">
        <v>0.2377533783783784</v>
      </c>
    </row>
    <row r="39" spans="2:4" x14ac:dyDescent="0.2">
      <c r="B39" s="40" t="s">
        <v>224</v>
      </c>
      <c r="C39" s="92">
        <f>C35*(1-C38)</f>
        <v>2.9532029535610061E-2</v>
      </c>
    </row>
    <row r="40" spans="2:4" x14ac:dyDescent="0.2">
      <c r="B40" s="40"/>
      <c r="C40" s="60"/>
    </row>
    <row r="41" spans="2:4" x14ac:dyDescent="0.2">
      <c r="B41" s="49" t="s">
        <v>233</v>
      </c>
      <c r="C41" s="87"/>
    </row>
    <row r="42" spans="2:4" x14ac:dyDescent="0.2">
      <c r="B42" s="40" t="s">
        <v>229</v>
      </c>
      <c r="C42" s="88">
        <v>4.2500000000000003E-2</v>
      </c>
      <c r="D42" t="s">
        <v>228</v>
      </c>
    </row>
    <row r="43" spans="2:4" x14ac:dyDescent="0.2">
      <c r="B43" s="40" t="s">
        <v>230</v>
      </c>
      <c r="C43" s="60">
        <v>1.18</v>
      </c>
      <c r="D43" t="s">
        <v>231</v>
      </c>
    </row>
    <row r="44" spans="2:4" x14ac:dyDescent="0.2">
      <c r="B44" s="40" t="s">
        <v>232</v>
      </c>
      <c r="C44" s="58">
        <v>0.1</v>
      </c>
      <c r="D44" t="s">
        <v>248</v>
      </c>
    </row>
    <row r="45" spans="2:4" x14ac:dyDescent="0.2">
      <c r="B45" s="40" t="s">
        <v>234</v>
      </c>
      <c r="C45" s="93">
        <f>C42+C43*(C44-C42)</f>
        <v>0.11035</v>
      </c>
    </row>
    <row r="46" spans="2:4" x14ac:dyDescent="0.2">
      <c r="B46" s="40"/>
      <c r="C46" s="60"/>
    </row>
    <row r="47" spans="2:4" x14ac:dyDescent="0.2">
      <c r="B47" s="49" t="s">
        <v>236</v>
      </c>
      <c r="C47" s="87"/>
    </row>
    <row r="48" spans="2:4" x14ac:dyDescent="0.2">
      <c r="B48" s="40" t="s">
        <v>208</v>
      </c>
      <c r="C48" s="60">
        <v>2877.9</v>
      </c>
    </row>
    <row r="49" spans="2:4" x14ac:dyDescent="0.2">
      <c r="B49" s="40" t="s">
        <v>59</v>
      </c>
      <c r="C49" s="60">
        <v>53817.255999999994</v>
      </c>
    </row>
    <row r="50" spans="2:4" x14ac:dyDescent="0.2">
      <c r="B50" s="40" t="s">
        <v>237</v>
      </c>
      <c r="C50" s="60">
        <v>56695.155999999995</v>
      </c>
    </row>
    <row r="51" spans="2:4" x14ac:dyDescent="0.2">
      <c r="B51" s="40"/>
      <c r="C51" s="60"/>
    </row>
    <row r="52" spans="2:4" x14ac:dyDescent="0.2">
      <c r="B52" s="40" t="s">
        <v>238</v>
      </c>
      <c r="C52" s="91">
        <f>C48/C50</f>
        <v>5.0760950371139299E-2</v>
      </c>
    </row>
    <row r="53" spans="2:4" x14ac:dyDescent="0.2">
      <c r="B53" s="40" t="s">
        <v>239</v>
      </c>
      <c r="C53" s="91">
        <f>C49/C50</f>
        <v>0.94923904962886063</v>
      </c>
    </row>
    <row r="54" spans="2:4" x14ac:dyDescent="0.2">
      <c r="B54" s="40"/>
      <c r="C54" s="60"/>
    </row>
    <row r="55" spans="2:4" x14ac:dyDescent="0.2">
      <c r="B55" s="49" t="s">
        <v>240</v>
      </c>
      <c r="C55" s="92">
        <f>(C52*C39)+(C53*C45)</f>
        <v>0.10624760301216089</v>
      </c>
    </row>
    <row r="57" spans="2:4" ht="13.6" x14ac:dyDescent="0.25">
      <c r="B57" s="1" t="s">
        <v>249</v>
      </c>
    </row>
    <row r="58" spans="2:4" x14ac:dyDescent="0.2">
      <c r="B58" s="85" t="s">
        <v>218</v>
      </c>
      <c r="C58" s="86"/>
    </row>
    <row r="59" spans="2:4" x14ac:dyDescent="0.2">
      <c r="B59" s="40" t="s">
        <v>34</v>
      </c>
      <c r="C59" s="60">
        <v>20.3</v>
      </c>
    </row>
    <row r="60" spans="2:4" x14ac:dyDescent="0.2">
      <c r="B60" s="40" t="s">
        <v>219</v>
      </c>
      <c r="C60" s="60">
        <v>305</v>
      </c>
    </row>
    <row r="61" spans="2:4" x14ac:dyDescent="0.2">
      <c r="B61" s="40" t="s">
        <v>220</v>
      </c>
      <c r="C61" s="87">
        <v>2572.9</v>
      </c>
      <c r="D61" t="s">
        <v>269</v>
      </c>
    </row>
    <row r="62" spans="2:4" x14ac:dyDescent="0.2">
      <c r="B62" s="40" t="s">
        <v>225</v>
      </c>
      <c r="C62" s="88">
        <f>C59/(C61+C60)</f>
        <v>7.0537544737482192E-3</v>
      </c>
      <c r="D62" t="s">
        <v>226</v>
      </c>
    </row>
    <row r="63" spans="2:4" x14ac:dyDescent="0.2">
      <c r="B63" s="40" t="s">
        <v>227</v>
      </c>
      <c r="C63" s="89">
        <f>((C61/(C60+C61))*C70)+((C60/(C60+C61))*C62)</f>
        <v>3.8743404953088437E-2</v>
      </c>
    </row>
    <row r="64" spans="2:4" x14ac:dyDescent="0.2">
      <c r="B64" s="40" t="s">
        <v>221</v>
      </c>
      <c r="C64" s="60">
        <v>168.9</v>
      </c>
    </row>
    <row r="65" spans="2:4" x14ac:dyDescent="0.2">
      <c r="B65" s="40" t="s">
        <v>222</v>
      </c>
      <c r="C65" s="60">
        <v>710.4</v>
      </c>
    </row>
    <row r="66" spans="2:4" x14ac:dyDescent="0.2">
      <c r="B66" s="40" t="s">
        <v>223</v>
      </c>
      <c r="C66" s="72">
        <v>0.2377533783783784</v>
      </c>
    </row>
    <row r="67" spans="2:4" x14ac:dyDescent="0.2">
      <c r="B67" s="40" t="s">
        <v>224</v>
      </c>
      <c r="C67" s="92">
        <f>C63*(1-C66)</f>
        <v>2.9532029535610061E-2</v>
      </c>
    </row>
    <row r="68" spans="2:4" x14ac:dyDescent="0.2">
      <c r="B68" s="40"/>
      <c r="C68" s="60"/>
    </row>
    <row r="69" spans="2:4" x14ac:dyDescent="0.2">
      <c r="B69" s="49" t="s">
        <v>233</v>
      </c>
      <c r="C69" s="87"/>
    </row>
    <row r="70" spans="2:4" x14ac:dyDescent="0.2">
      <c r="B70" s="40" t="s">
        <v>229</v>
      </c>
      <c r="C70" s="88">
        <v>4.2500000000000003E-2</v>
      </c>
      <c r="D70" t="s">
        <v>228</v>
      </c>
    </row>
    <row r="71" spans="2:4" x14ac:dyDescent="0.2">
      <c r="B71" s="40" t="s">
        <v>230</v>
      </c>
      <c r="C71" s="60">
        <v>1.18</v>
      </c>
      <c r="D71" t="s">
        <v>231</v>
      </c>
    </row>
    <row r="72" spans="2:4" x14ac:dyDescent="0.2">
      <c r="B72" s="40" t="s">
        <v>232</v>
      </c>
      <c r="C72" s="58">
        <v>0.05</v>
      </c>
      <c r="D72" t="s">
        <v>247</v>
      </c>
    </row>
    <row r="73" spans="2:4" x14ac:dyDescent="0.2">
      <c r="B73" s="40" t="s">
        <v>234</v>
      </c>
      <c r="C73" s="90">
        <f>C70+C71*(C72-C70)</f>
        <v>5.135E-2</v>
      </c>
    </row>
    <row r="74" spans="2:4" x14ac:dyDescent="0.2">
      <c r="B74" s="40"/>
      <c r="C74" s="60"/>
    </row>
    <row r="75" spans="2:4" x14ac:dyDescent="0.2">
      <c r="B75" s="49" t="s">
        <v>236</v>
      </c>
      <c r="C75" s="87"/>
    </row>
    <row r="76" spans="2:4" x14ac:dyDescent="0.2">
      <c r="B76" s="40" t="s">
        <v>208</v>
      </c>
      <c r="C76" s="60">
        <v>2877.9</v>
      </c>
    </row>
    <row r="77" spans="2:4" x14ac:dyDescent="0.2">
      <c r="B77" s="40" t="s">
        <v>59</v>
      </c>
      <c r="C77" s="60">
        <v>53817.255999999994</v>
      </c>
    </row>
    <row r="78" spans="2:4" x14ac:dyDescent="0.2">
      <c r="B78" s="40" t="s">
        <v>237</v>
      </c>
      <c r="C78" s="60">
        <v>56695.155999999995</v>
      </c>
    </row>
    <row r="79" spans="2:4" x14ac:dyDescent="0.2">
      <c r="B79" s="40"/>
      <c r="C79" s="60"/>
    </row>
    <row r="80" spans="2:4" x14ac:dyDescent="0.2">
      <c r="B80" s="40" t="s">
        <v>238</v>
      </c>
      <c r="C80" s="91">
        <f>C76/C78</f>
        <v>5.0760950371139299E-2</v>
      </c>
    </row>
    <row r="81" spans="2:3" x14ac:dyDescent="0.2">
      <c r="B81" s="40" t="s">
        <v>239</v>
      </c>
      <c r="C81" s="91">
        <f>C77/C78</f>
        <v>0.94923904962886063</v>
      </c>
    </row>
    <row r="82" spans="2:3" x14ac:dyDescent="0.2">
      <c r="B82" s="40"/>
      <c r="C82" s="60"/>
    </row>
    <row r="83" spans="2:3" x14ac:dyDescent="0.2">
      <c r="B83" s="49" t="s">
        <v>240</v>
      </c>
      <c r="C83" s="92">
        <f>(C80*C67)+(C81*C73)</f>
        <v>5.0242499084058118E-2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D24D2-3276-4F4C-9820-EA7D3282FDFE}">
  <dimension ref="A1:F50"/>
  <sheetViews>
    <sheetView workbookViewId="0">
      <selection activeCell="A3" sqref="A3"/>
    </sheetView>
  </sheetViews>
  <sheetFormatPr defaultColWidth="9.125" defaultRowHeight="14.95" customHeight="1" outlineLevelRow="3" x14ac:dyDescent="0.2"/>
  <cols>
    <col min="1" max="1" width="54.125" customWidth="1"/>
    <col min="2" max="6" width="8" customWidth="1"/>
  </cols>
  <sheetData>
    <row r="1" spans="1:6" ht="13.6" x14ac:dyDescent="0.25">
      <c r="A1" s="1" t="s">
        <v>55</v>
      </c>
    </row>
    <row r="2" spans="1:6" ht="14.95" customHeight="1" x14ac:dyDescent="0.2">
      <c r="A2" s="28">
        <v>139.63999999999999</v>
      </c>
    </row>
    <row r="3" spans="1:6" ht="14.95" customHeight="1" x14ac:dyDescent="0.2">
      <c r="A3" s="27"/>
      <c r="B3" s="27"/>
      <c r="C3" s="27"/>
      <c r="D3" s="27"/>
      <c r="E3" s="27"/>
      <c r="F3" s="27"/>
    </row>
    <row r="5" spans="1:6" ht="13.6" x14ac:dyDescent="0.25">
      <c r="A5" s="2" t="s">
        <v>54</v>
      </c>
      <c r="B5" s="2"/>
      <c r="C5" s="2"/>
      <c r="D5" s="2"/>
      <c r="E5" s="2"/>
      <c r="F5" s="2"/>
    </row>
    <row r="6" spans="1:6" ht="13.6" x14ac:dyDescent="0.25">
      <c r="A6" s="2" t="s">
        <v>53</v>
      </c>
      <c r="B6" s="2"/>
      <c r="C6" s="2"/>
      <c r="D6" s="2"/>
      <c r="E6" s="2"/>
      <c r="F6" s="2"/>
    </row>
    <row r="7" spans="1:6" ht="13.6" x14ac:dyDescent="0.25">
      <c r="A7" s="2" t="s">
        <v>52</v>
      </c>
      <c r="B7" s="2"/>
      <c r="C7" s="2"/>
      <c r="D7" s="2"/>
      <c r="E7" s="2"/>
      <c r="F7" s="2"/>
    </row>
    <row r="8" spans="1:6" ht="13.6" x14ac:dyDescent="0.25">
      <c r="A8" s="2"/>
      <c r="B8" s="2" t="s">
        <v>51</v>
      </c>
      <c r="C8" s="2" t="s">
        <v>50</v>
      </c>
      <c r="D8" s="2" t="s">
        <v>49</v>
      </c>
      <c r="E8" s="2" t="s">
        <v>48</v>
      </c>
      <c r="F8" s="2" t="s">
        <v>47</v>
      </c>
    </row>
    <row r="9" spans="1:6" ht="13.6" x14ac:dyDescent="0.25">
      <c r="A9" s="13" t="s">
        <v>9</v>
      </c>
      <c r="B9" s="20">
        <v>1476</v>
      </c>
      <c r="C9" s="20">
        <v>1926.7</v>
      </c>
      <c r="D9" s="20">
        <v>2448.5</v>
      </c>
      <c r="E9" s="20">
        <v>2909.8</v>
      </c>
      <c r="F9" s="20">
        <v>3622.3</v>
      </c>
    </row>
    <row r="10" spans="1:6" ht="13.6" x14ac:dyDescent="0.25">
      <c r="A10" s="12" t="s">
        <v>45</v>
      </c>
      <c r="B10" s="11">
        <v>544.5</v>
      </c>
      <c r="C10" s="11">
        <v>646.6</v>
      </c>
      <c r="D10" s="11">
        <v>771.7</v>
      </c>
      <c r="E10" s="11">
        <v>1034.2</v>
      </c>
      <c r="F10" s="11">
        <v>1341.5</v>
      </c>
    </row>
    <row r="11" spans="1:6" ht="12.9" outlineLevel="1" x14ac:dyDescent="0.2">
      <c r="A11" s="10" t="s">
        <v>44</v>
      </c>
      <c r="B11" s="9">
        <v>495.8</v>
      </c>
      <c r="C11" s="9">
        <v>579.5</v>
      </c>
      <c r="D11" s="9">
        <v>669.8</v>
      </c>
      <c r="E11" s="9">
        <v>878.3</v>
      </c>
      <c r="F11" s="9">
        <v>1155.5</v>
      </c>
    </row>
    <row r="12" spans="1:6" ht="14.95" customHeight="1" outlineLevel="2" x14ac:dyDescent="0.25">
      <c r="A12" s="25" t="s">
        <v>11</v>
      </c>
      <c r="B12" s="11">
        <v>48.7</v>
      </c>
      <c r="C12" s="11">
        <v>67.099999999999994</v>
      </c>
      <c r="D12" s="11">
        <v>101.9</v>
      </c>
      <c r="E12" s="11">
        <v>155.9</v>
      </c>
      <c r="F12" s="11">
        <v>186</v>
      </c>
    </row>
    <row r="13" spans="1:6" ht="12.9" outlineLevel="2" x14ac:dyDescent="0.2">
      <c r="A13" s="24" t="s">
        <v>43</v>
      </c>
      <c r="B13" s="9">
        <v>46.9</v>
      </c>
      <c r="C13" s="9">
        <v>64</v>
      </c>
      <c r="D13" s="9">
        <v>96.3</v>
      </c>
      <c r="E13" s="9">
        <v>144.1</v>
      </c>
      <c r="F13" s="9">
        <v>147.4</v>
      </c>
    </row>
    <row r="14" spans="1:6" ht="14.95" customHeight="1" outlineLevel="3" x14ac:dyDescent="0.2">
      <c r="A14" s="26" t="s">
        <v>42</v>
      </c>
      <c r="B14" s="7">
        <v>1.8</v>
      </c>
      <c r="C14" s="7">
        <v>3.1</v>
      </c>
      <c r="D14" s="7">
        <v>5.6</v>
      </c>
      <c r="E14" s="7">
        <v>11.8</v>
      </c>
      <c r="F14" s="7">
        <v>38.6</v>
      </c>
    </row>
    <row r="15" spans="1:6" ht="14.95" customHeight="1" outlineLevel="3" x14ac:dyDescent="0.25">
      <c r="A15" s="13" t="s">
        <v>41</v>
      </c>
      <c r="B15" s="20">
        <v>931.5</v>
      </c>
      <c r="C15" s="20">
        <v>1280.0999999999999</v>
      </c>
      <c r="D15" s="20">
        <v>1676.8</v>
      </c>
      <c r="E15" s="20">
        <v>1875.6</v>
      </c>
      <c r="F15" s="20">
        <v>2280.8000000000002</v>
      </c>
    </row>
    <row r="16" spans="1:6" ht="13.6" x14ac:dyDescent="0.25">
      <c r="A16" s="12" t="s">
        <v>40</v>
      </c>
      <c r="B16" s="11">
        <v>789.2</v>
      </c>
      <c r="C16" s="11">
        <v>980.6</v>
      </c>
      <c r="D16" s="11">
        <v>1411</v>
      </c>
      <c r="E16" s="11">
        <v>1484.4</v>
      </c>
      <c r="F16" s="11">
        <v>1683.1</v>
      </c>
    </row>
    <row r="17" spans="1:6" ht="12.9" outlineLevel="1" x14ac:dyDescent="0.2">
      <c r="A17" s="10" t="s">
        <v>39</v>
      </c>
      <c r="B17" s="9">
        <v>273.5</v>
      </c>
      <c r="C17" s="9">
        <v>359.9</v>
      </c>
      <c r="D17" s="9">
        <v>604.20000000000005</v>
      </c>
      <c r="E17" s="9">
        <v>484.2</v>
      </c>
      <c r="F17" s="9">
        <v>497.7</v>
      </c>
    </row>
    <row r="18" spans="1:6" ht="14.95" customHeight="1" outlineLevel="2" x14ac:dyDescent="0.2">
      <c r="A18" s="8" t="s">
        <v>38</v>
      </c>
      <c r="B18" s="7">
        <v>515.70000000000005</v>
      </c>
      <c r="C18" s="7">
        <v>620.70000000000005</v>
      </c>
      <c r="D18" s="7">
        <v>806.8</v>
      </c>
      <c r="E18" s="7">
        <v>1000.2</v>
      </c>
      <c r="F18" s="7">
        <v>1185.4000000000001</v>
      </c>
    </row>
    <row r="19" spans="1:6" ht="14.95" customHeight="1" outlineLevel="2" x14ac:dyDescent="0.25">
      <c r="A19" s="13" t="s">
        <v>12</v>
      </c>
      <c r="B19" s="20">
        <v>142.30000000000001</v>
      </c>
      <c r="C19" s="20">
        <v>299.5</v>
      </c>
      <c r="D19" s="20">
        <v>265.8</v>
      </c>
      <c r="E19" s="20">
        <v>391.2</v>
      </c>
      <c r="F19" s="20">
        <v>597.70000000000005</v>
      </c>
    </row>
    <row r="20" spans="1:6" ht="13.6" x14ac:dyDescent="0.25">
      <c r="A20" s="12" t="s">
        <v>37</v>
      </c>
      <c r="B20" s="11">
        <v>22.2</v>
      </c>
      <c r="C20" s="11">
        <v>16.100000000000001</v>
      </c>
      <c r="D20" s="11">
        <v>9.9</v>
      </c>
      <c r="E20" s="11">
        <v>18.2</v>
      </c>
      <c r="F20" s="11">
        <v>133</v>
      </c>
    </row>
    <row r="21" spans="1:6" ht="12.9" outlineLevel="1" x14ac:dyDescent="0.2">
      <c r="A21" s="10" t="s">
        <v>36</v>
      </c>
      <c r="B21" s="9">
        <v>28.4</v>
      </c>
      <c r="C21" s="9">
        <v>13.2</v>
      </c>
      <c r="D21" s="9">
        <v>0</v>
      </c>
      <c r="E21" s="9">
        <v>0</v>
      </c>
      <c r="F21" s="9">
        <v>135</v>
      </c>
    </row>
    <row r="22" spans="1:6" ht="14.95" customHeight="1" outlineLevel="2" x14ac:dyDescent="0.2">
      <c r="A22" s="8" t="s">
        <v>35</v>
      </c>
      <c r="B22" s="22">
        <v>-6.2</v>
      </c>
      <c r="C22" s="7">
        <v>2.9</v>
      </c>
      <c r="D22" s="7">
        <v>9.9</v>
      </c>
      <c r="E22" s="7">
        <v>18.2</v>
      </c>
      <c r="F22" s="22">
        <v>-2</v>
      </c>
    </row>
    <row r="23" spans="1:6" ht="13.6" outlineLevel="2" x14ac:dyDescent="0.25">
      <c r="A23" s="18" t="s">
        <v>34</v>
      </c>
      <c r="B23" s="20">
        <v>60.3</v>
      </c>
      <c r="C23" s="20">
        <v>84.7</v>
      </c>
      <c r="D23" s="20">
        <v>18.8</v>
      </c>
      <c r="E23" s="20">
        <v>18.600000000000001</v>
      </c>
      <c r="F23" s="20">
        <v>20.3</v>
      </c>
    </row>
    <row r="24" spans="1:6" ht="12.9" outlineLevel="1" x14ac:dyDescent="0.2">
      <c r="A24" s="8" t="s">
        <v>33</v>
      </c>
      <c r="B24" s="7">
        <v>60.3</v>
      </c>
      <c r="C24" s="7">
        <v>84.7</v>
      </c>
      <c r="D24" s="7">
        <v>18.8</v>
      </c>
      <c r="E24" s="7">
        <v>18.600000000000001</v>
      </c>
      <c r="F24" s="7">
        <v>20.3</v>
      </c>
    </row>
    <row r="25" spans="1:6" ht="14.95" customHeight="1" outlineLevel="2" x14ac:dyDescent="0.25">
      <c r="A25" s="18" t="s">
        <v>32</v>
      </c>
      <c r="B25" s="13"/>
      <c r="C25" s="20">
        <v>5.9</v>
      </c>
      <c r="D25" s="20">
        <v>0.1</v>
      </c>
      <c r="E25" s="20">
        <v>0</v>
      </c>
      <c r="F25" s="20">
        <v>0</v>
      </c>
    </row>
    <row r="26" spans="1:6" ht="13.6" outlineLevel="1" x14ac:dyDescent="0.25">
      <c r="A26" s="25" t="s">
        <v>31</v>
      </c>
      <c r="B26" s="23"/>
      <c r="C26" s="11">
        <v>5.9</v>
      </c>
      <c r="D26" s="11">
        <v>0.1</v>
      </c>
      <c r="E26" s="11">
        <v>0</v>
      </c>
      <c r="F26" s="11">
        <v>0</v>
      </c>
    </row>
    <row r="27" spans="1:6" ht="12.9" outlineLevel="2" x14ac:dyDescent="0.2">
      <c r="A27" s="24" t="s">
        <v>30</v>
      </c>
      <c r="B27" s="3"/>
      <c r="C27" s="9">
        <v>5.9</v>
      </c>
      <c r="D27" s="9">
        <v>0.1</v>
      </c>
      <c r="E27" s="9">
        <v>0</v>
      </c>
      <c r="F27" s="9">
        <v>0</v>
      </c>
    </row>
    <row r="28" spans="1:6" ht="14.95" customHeight="1" outlineLevel="3" x14ac:dyDescent="0.25">
      <c r="A28" s="23" t="s">
        <v>29</v>
      </c>
      <c r="B28" s="11">
        <v>104.2</v>
      </c>
      <c r="C28" s="11">
        <v>225</v>
      </c>
      <c r="D28" s="11">
        <v>256.8</v>
      </c>
      <c r="E28" s="11">
        <v>390.8</v>
      </c>
      <c r="F28" s="11">
        <v>710.4</v>
      </c>
    </row>
    <row r="29" spans="1:6" ht="13.6" x14ac:dyDescent="0.25">
      <c r="A29" s="18" t="s">
        <v>28</v>
      </c>
      <c r="B29" s="20">
        <v>3.1</v>
      </c>
      <c r="C29" s="20">
        <v>-268.60000000000002</v>
      </c>
      <c r="D29" s="20">
        <v>39.9</v>
      </c>
      <c r="E29" s="20">
        <v>49.6</v>
      </c>
      <c r="F29" s="20">
        <v>168.9</v>
      </c>
    </row>
    <row r="30" spans="1:6" ht="12.9" outlineLevel="1" x14ac:dyDescent="0.2">
      <c r="A30" s="8" t="s">
        <v>27</v>
      </c>
      <c r="B30" s="7">
        <v>1</v>
      </c>
      <c r="C30" s="7">
        <v>6.1</v>
      </c>
      <c r="D30" s="7">
        <v>14</v>
      </c>
      <c r="E30" s="7">
        <v>58.7</v>
      </c>
      <c r="F30" s="7">
        <v>167.2</v>
      </c>
    </row>
    <row r="31" spans="1:6" ht="14.95" customHeight="1" outlineLevel="2" x14ac:dyDescent="0.2">
      <c r="A31" s="10" t="s">
        <v>26</v>
      </c>
      <c r="B31" s="9">
        <v>1.9</v>
      </c>
      <c r="C31" s="9">
        <v>2.6</v>
      </c>
      <c r="D31" s="9">
        <v>10.1</v>
      </c>
      <c r="E31" s="9">
        <v>12.5</v>
      </c>
      <c r="F31" s="9">
        <v>56.7</v>
      </c>
    </row>
    <row r="32" spans="1:6" ht="14.95" customHeight="1" outlineLevel="2" x14ac:dyDescent="0.2">
      <c r="A32" s="8" t="s">
        <v>25</v>
      </c>
      <c r="B32" s="7">
        <v>0</v>
      </c>
      <c r="C32" s="22">
        <v>-250.2</v>
      </c>
      <c r="D32" s="7">
        <v>22.8</v>
      </c>
      <c r="E32" s="22">
        <v>-21.9</v>
      </c>
      <c r="F32" s="22">
        <v>-79.099999999999994</v>
      </c>
    </row>
    <row r="33" spans="1:6" ht="12.9" outlineLevel="2" x14ac:dyDescent="0.2">
      <c r="A33" s="10" t="s">
        <v>24</v>
      </c>
      <c r="B33" s="9">
        <v>0.2</v>
      </c>
      <c r="C33" s="21">
        <v>-27.1</v>
      </c>
      <c r="D33" s="21">
        <v>-7</v>
      </c>
      <c r="E33" s="9">
        <v>0.3</v>
      </c>
      <c r="F33" s="9">
        <v>24.1</v>
      </c>
    </row>
    <row r="34" spans="1:6" ht="12.9" outlineLevel="2" x14ac:dyDescent="0.2">
      <c r="A34" s="4" t="s">
        <v>23</v>
      </c>
      <c r="B34" s="7">
        <v>101.1</v>
      </c>
      <c r="C34" s="7">
        <v>493.6</v>
      </c>
      <c r="D34" s="7">
        <v>216.9</v>
      </c>
      <c r="E34" s="7">
        <v>341.2</v>
      </c>
      <c r="F34" s="7">
        <v>541.5</v>
      </c>
    </row>
    <row r="35" spans="1:6" ht="14.95" customHeight="1" x14ac:dyDescent="0.25">
      <c r="A35" s="13" t="s">
        <v>22</v>
      </c>
      <c r="B35" s="20">
        <v>101.1</v>
      </c>
      <c r="C35" s="20">
        <v>493.6</v>
      </c>
      <c r="D35" s="20">
        <v>216.9</v>
      </c>
      <c r="E35" s="20">
        <v>341.2</v>
      </c>
      <c r="F35" s="20">
        <v>541.5</v>
      </c>
    </row>
    <row r="36" spans="1:6" ht="12.9" x14ac:dyDescent="0.2">
      <c r="A36" s="15" t="s">
        <v>21</v>
      </c>
      <c r="B36" s="7">
        <v>101.1</v>
      </c>
      <c r="C36" s="7">
        <v>493.6</v>
      </c>
      <c r="D36" s="7">
        <v>216.9</v>
      </c>
      <c r="E36" s="7">
        <v>341.2</v>
      </c>
      <c r="F36" s="7">
        <v>541.5</v>
      </c>
    </row>
    <row r="37" spans="1:6" ht="14.95" customHeight="1" outlineLevel="1" x14ac:dyDescent="0.25">
      <c r="A37" s="13" t="s">
        <v>20</v>
      </c>
      <c r="B37" s="13"/>
      <c r="C37" s="13"/>
      <c r="D37" s="13"/>
      <c r="E37" s="13"/>
      <c r="F37" s="13"/>
    </row>
    <row r="38" spans="1:6" ht="13.6" x14ac:dyDescent="0.25">
      <c r="A38" s="12" t="s">
        <v>19</v>
      </c>
      <c r="B38" s="19">
        <v>0.273835</v>
      </c>
      <c r="C38" s="19">
        <v>1.2762309999999999</v>
      </c>
      <c r="D38" s="19">
        <v>0.50599300000000003</v>
      </c>
      <c r="E38" s="19">
        <v>0.79812899999999998</v>
      </c>
      <c r="F38" s="19">
        <v>1.302233</v>
      </c>
    </row>
    <row r="39" spans="1:6" ht="12.9" outlineLevel="1" x14ac:dyDescent="0.2">
      <c r="A39" s="10" t="s">
        <v>18</v>
      </c>
      <c r="B39" s="16">
        <v>364.4</v>
      </c>
      <c r="C39" s="16">
        <v>377.6</v>
      </c>
      <c r="D39" s="16">
        <v>386.9</v>
      </c>
      <c r="E39" s="16">
        <v>389.4</v>
      </c>
      <c r="F39" s="16">
        <v>386</v>
      </c>
    </row>
    <row r="40" spans="1:6" ht="14.95" customHeight="1" outlineLevel="2" x14ac:dyDescent="0.2">
      <c r="A40" s="8" t="s">
        <v>15</v>
      </c>
      <c r="B40" s="14">
        <v>366.4</v>
      </c>
      <c r="C40" s="14">
        <v>384.4</v>
      </c>
      <c r="D40" s="14">
        <v>388</v>
      </c>
      <c r="E40" s="14">
        <v>386.3</v>
      </c>
      <c r="F40" s="14">
        <v>385.4</v>
      </c>
    </row>
    <row r="41" spans="1:6" ht="14.95" customHeight="1" outlineLevel="2" x14ac:dyDescent="0.25">
      <c r="A41" s="18" t="s">
        <v>17</v>
      </c>
      <c r="B41" s="17">
        <v>0.27379999999999999</v>
      </c>
      <c r="C41" s="17">
        <v>1.2656000000000001</v>
      </c>
      <c r="D41" s="17">
        <v>0.50580000000000003</v>
      </c>
      <c r="E41" s="17">
        <v>0.79810000000000003</v>
      </c>
      <c r="F41" s="17">
        <v>1.3022</v>
      </c>
    </row>
    <row r="42" spans="1:6" ht="12.9" outlineLevel="1" x14ac:dyDescent="0.2">
      <c r="A42" s="8" t="s">
        <v>16</v>
      </c>
      <c r="B42" s="14">
        <v>369.2</v>
      </c>
      <c r="C42" s="14">
        <v>390</v>
      </c>
      <c r="D42" s="14">
        <v>428.8</v>
      </c>
      <c r="E42" s="14">
        <v>427.5</v>
      </c>
      <c r="F42" s="14">
        <v>425.5</v>
      </c>
    </row>
    <row r="43" spans="1:6" ht="14.95" customHeight="1" outlineLevel="2" x14ac:dyDescent="0.2">
      <c r="A43" s="10" t="s">
        <v>15</v>
      </c>
      <c r="B43" s="16">
        <v>366.4</v>
      </c>
      <c r="C43" s="16">
        <v>384.4</v>
      </c>
      <c r="D43" s="16">
        <v>388</v>
      </c>
      <c r="E43" s="16">
        <v>386.3</v>
      </c>
      <c r="F43" s="16">
        <v>385.4</v>
      </c>
    </row>
    <row r="44" spans="1:6" ht="14.95" customHeight="1" outlineLevel="2" x14ac:dyDescent="0.2">
      <c r="A44" s="15" t="s">
        <v>14</v>
      </c>
      <c r="B44" s="14">
        <v>43.966999999999999</v>
      </c>
      <c r="C44" s="14">
        <v>49.832999999999998</v>
      </c>
      <c r="D44" s="14">
        <v>76.894999999999996</v>
      </c>
      <c r="E44" s="14">
        <v>79.679000000000002</v>
      </c>
      <c r="F44" s="14">
        <v>83.346999999999994</v>
      </c>
    </row>
    <row r="45" spans="1:6" ht="14.95" customHeight="1" outlineLevel="1" x14ac:dyDescent="0.25">
      <c r="A45" s="13" t="s">
        <v>13</v>
      </c>
      <c r="B45" s="13"/>
      <c r="C45" s="13"/>
      <c r="D45" s="13"/>
      <c r="E45" s="13"/>
      <c r="F45" s="13"/>
    </row>
    <row r="46" spans="1:6" ht="13.6" x14ac:dyDescent="0.25">
      <c r="A46" s="12" t="s">
        <v>13</v>
      </c>
      <c r="B46" s="11">
        <v>191</v>
      </c>
      <c r="C46" s="11">
        <v>366.6</v>
      </c>
      <c r="D46" s="11">
        <v>367.7</v>
      </c>
      <c r="E46" s="11">
        <v>547.1</v>
      </c>
      <c r="F46" s="11">
        <v>783.7</v>
      </c>
    </row>
    <row r="47" spans="1:6" ht="12.9" outlineLevel="1" x14ac:dyDescent="0.2">
      <c r="A47" s="10" t="s">
        <v>12</v>
      </c>
      <c r="B47" s="9">
        <v>142.30000000000001</v>
      </c>
      <c r="C47" s="9">
        <v>299.5</v>
      </c>
      <c r="D47" s="9">
        <v>265.8</v>
      </c>
      <c r="E47" s="9">
        <v>391.2</v>
      </c>
      <c r="F47" s="9">
        <v>597.70000000000005</v>
      </c>
    </row>
    <row r="48" spans="1:6" ht="14.95" customHeight="1" outlineLevel="2" x14ac:dyDescent="0.2">
      <c r="A48" s="8" t="s">
        <v>11</v>
      </c>
      <c r="B48" s="7">
        <v>48.7</v>
      </c>
      <c r="C48" s="7">
        <v>67.099999999999994</v>
      </c>
      <c r="D48" s="7">
        <v>101.9</v>
      </c>
      <c r="E48" s="7">
        <v>155.9</v>
      </c>
      <c r="F48" s="7">
        <v>186</v>
      </c>
    </row>
    <row r="49" spans="1:1" ht="14.95" customHeight="1" outlineLevel="2" x14ac:dyDescent="0.2">
      <c r="A49" s="6" t="s">
        <v>10</v>
      </c>
    </row>
    <row r="50" spans="1:1" ht="12.9"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BF571-E0B7-D848-9EE1-38A8140F1211}">
  <dimension ref="A1:F79"/>
  <sheetViews>
    <sheetView topLeftCell="A2" workbookViewId="0">
      <selection activeCell="F58" sqref="F58"/>
    </sheetView>
  </sheetViews>
  <sheetFormatPr defaultColWidth="9.125" defaultRowHeight="14.95" customHeight="1" outlineLevelRow="3" x14ac:dyDescent="0.2"/>
  <cols>
    <col min="1" max="1" width="65.875" customWidth="1"/>
    <col min="2" max="6" width="8" customWidth="1"/>
  </cols>
  <sheetData>
    <row r="1" spans="1:6" ht="13.6" x14ac:dyDescent="0.25">
      <c r="A1" s="1" t="s">
        <v>55</v>
      </c>
    </row>
    <row r="2" spans="1:6" ht="14.95" customHeight="1" x14ac:dyDescent="0.2">
      <c r="A2" s="28" t="s">
        <v>124</v>
      </c>
    </row>
    <row r="3" spans="1:6" ht="14.95" customHeight="1" x14ac:dyDescent="0.2">
      <c r="A3" s="27"/>
      <c r="B3" s="27"/>
      <c r="C3" s="27"/>
      <c r="D3" s="27"/>
      <c r="E3" s="27"/>
      <c r="F3" s="27"/>
    </row>
    <row r="5" spans="1:6" ht="13.6" x14ac:dyDescent="0.25">
      <c r="A5" s="2" t="s">
        <v>54</v>
      </c>
      <c r="B5" s="2"/>
      <c r="C5" s="2"/>
      <c r="D5" s="2"/>
      <c r="E5" s="2"/>
      <c r="F5" s="2"/>
    </row>
    <row r="6" spans="1:6" ht="13.6" x14ac:dyDescent="0.25">
      <c r="A6" s="2" t="s">
        <v>53</v>
      </c>
      <c r="B6" s="2"/>
      <c r="C6" s="2"/>
      <c r="D6" s="2"/>
      <c r="E6" s="2"/>
      <c r="F6" s="2"/>
    </row>
    <row r="7" spans="1:6" ht="13.6" x14ac:dyDescent="0.25">
      <c r="A7" s="2" t="s">
        <v>52</v>
      </c>
      <c r="B7" s="2"/>
      <c r="C7" s="2"/>
      <c r="D7" s="2"/>
      <c r="E7" s="2"/>
      <c r="F7" s="2"/>
    </row>
    <row r="8" spans="1:6" ht="13.6" x14ac:dyDescent="0.25">
      <c r="A8" s="2"/>
      <c r="B8" s="2" t="s">
        <v>51</v>
      </c>
      <c r="C8" s="2" t="s">
        <v>50</v>
      </c>
      <c r="D8" s="2" t="s">
        <v>49</v>
      </c>
      <c r="E8" s="2" t="s">
        <v>48</v>
      </c>
      <c r="F8" s="2" t="s">
        <v>47</v>
      </c>
    </row>
    <row r="9" spans="1:6" ht="13.6" x14ac:dyDescent="0.25">
      <c r="A9" s="2"/>
      <c r="B9" s="2"/>
      <c r="C9" s="2"/>
      <c r="D9" s="2" t="s">
        <v>46</v>
      </c>
      <c r="E9" s="2"/>
      <c r="F9" s="2"/>
    </row>
    <row r="10" spans="1:6" ht="13.6" x14ac:dyDescent="0.25">
      <c r="A10" s="13" t="s">
        <v>123</v>
      </c>
      <c r="B10" s="13"/>
      <c r="C10" s="13"/>
      <c r="D10" s="13"/>
      <c r="E10" s="13"/>
      <c r="F10" s="13"/>
    </row>
    <row r="11" spans="1:6" ht="13.6" outlineLevel="1" x14ac:dyDescent="0.25">
      <c r="A11" s="12" t="s">
        <v>122</v>
      </c>
      <c r="B11" s="11">
        <v>1533.3</v>
      </c>
      <c r="C11" s="11">
        <v>2707.7</v>
      </c>
      <c r="D11" s="11">
        <v>2731.2</v>
      </c>
      <c r="E11" s="11">
        <v>2456.1999999999998</v>
      </c>
      <c r="F11" s="11">
        <v>2724.1</v>
      </c>
    </row>
    <row r="12" spans="1:6" ht="14.95" customHeight="1" outlineLevel="2" x14ac:dyDescent="0.2">
      <c r="A12" s="10" t="s">
        <v>121</v>
      </c>
      <c r="B12" s="9">
        <v>446.2</v>
      </c>
      <c r="C12" s="9">
        <v>817.6</v>
      </c>
      <c r="D12" s="9">
        <v>1052.5999999999999</v>
      </c>
      <c r="E12" s="9">
        <v>642.29999999999995</v>
      </c>
      <c r="F12" s="9">
        <v>566.29999999999995</v>
      </c>
    </row>
    <row r="13" spans="1:6" ht="14.95" customHeight="1" outlineLevel="2" x14ac:dyDescent="0.2">
      <c r="A13" s="8" t="s">
        <v>120</v>
      </c>
      <c r="B13" s="7">
        <v>1087.0999999999999</v>
      </c>
      <c r="C13" s="7">
        <v>1890.1</v>
      </c>
      <c r="D13" s="7">
        <v>1678.6</v>
      </c>
      <c r="E13" s="7">
        <v>1813.9</v>
      </c>
      <c r="F13" s="7">
        <v>2157.8000000000002</v>
      </c>
    </row>
    <row r="14" spans="1:6" ht="13.6" outlineLevel="1" x14ac:dyDescent="0.25">
      <c r="A14" s="18" t="s">
        <v>119</v>
      </c>
      <c r="B14" s="20">
        <v>286.3</v>
      </c>
      <c r="C14" s="20">
        <v>428.5</v>
      </c>
      <c r="D14" s="20">
        <v>516.6</v>
      </c>
      <c r="E14" s="20">
        <v>752.2</v>
      </c>
      <c r="F14" s="20">
        <v>987.5</v>
      </c>
    </row>
    <row r="15" spans="1:6" ht="13.6" outlineLevel="2" x14ac:dyDescent="0.25">
      <c r="A15" s="25" t="s">
        <v>118</v>
      </c>
      <c r="B15" s="11">
        <v>286.3</v>
      </c>
      <c r="C15" s="11">
        <v>428.5</v>
      </c>
      <c r="D15" s="11">
        <v>514.29999999999995</v>
      </c>
      <c r="E15" s="11">
        <v>713.3</v>
      </c>
      <c r="F15" s="11">
        <v>973.9</v>
      </c>
    </row>
    <row r="16" spans="1:6" ht="14.95" customHeight="1" outlineLevel="3" x14ac:dyDescent="0.2">
      <c r="A16" s="24" t="s">
        <v>117</v>
      </c>
      <c r="B16" s="9">
        <v>292.10000000000002</v>
      </c>
      <c r="C16" s="9">
        <v>435.7</v>
      </c>
      <c r="D16" s="9">
        <v>519.70000000000005</v>
      </c>
      <c r="E16" s="9">
        <v>720.6</v>
      </c>
      <c r="F16" s="9">
        <v>983.2</v>
      </c>
    </row>
    <row r="17" spans="1:6" ht="12.9" outlineLevel="3" x14ac:dyDescent="0.2">
      <c r="A17" s="26" t="s">
        <v>116</v>
      </c>
      <c r="B17" s="22">
        <v>-5.8</v>
      </c>
      <c r="C17" s="22">
        <v>-7.2</v>
      </c>
      <c r="D17" s="22">
        <v>-5.4</v>
      </c>
      <c r="E17" s="22">
        <v>-7.3</v>
      </c>
      <c r="F17" s="22">
        <v>-9.3000000000000007</v>
      </c>
    </row>
    <row r="18" spans="1:6" ht="14.95" customHeight="1" outlineLevel="2" x14ac:dyDescent="0.2">
      <c r="A18" s="10" t="s">
        <v>115</v>
      </c>
      <c r="B18" s="9">
        <v>0</v>
      </c>
      <c r="C18" s="9">
        <v>0</v>
      </c>
      <c r="D18" s="9">
        <v>2.2999999999999998</v>
      </c>
      <c r="E18" s="9">
        <v>38.9</v>
      </c>
      <c r="F18" s="9">
        <v>13.6</v>
      </c>
    </row>
    <row r="19" spans="1:6" ht="13.6" outlineLevel="1" x14ac:dyDescent="0.25">
      <c r="A19" s="12" t="s">
        <v>114</v>
      </c>
      <c r="B19" s="11">
        <v>119.8</v>
      </c>
      <c r="C19" s="11">
        <v>234.7</v>
      </c>
      <c r="D19" s="11">
        <v>357.3</v>
      </c>
      <c r="E19" s="11">
        <v>306.7</v>
      </c>
      <c r="F19" s="11">
        <v>559.6</v>
      </c>
    </row>
    <row r="20" spans="1:6" ht="14.95" customHeight="1" outlineLevel="2" x14ac:dyDescent="0.2">
      <c r="A20" s="10" t="s">
        <v>113</v>
      </c>
      <c r="B20" s="9">
        <v>43.8</v>
      </c>
      <c r="C20" s="9">
        <v>150.6</v>
      </c>
      <c r="D20" s="9">
        <v>195.9</v>
      </c>
      <c r="E20" s="9">
        <v>130.5</v>
      </c>
      <c r="F20" s="9">
        <v>210.1</v>
      </c>
    </row>
    <row r="21" spans="1:6" ht="14.95" customHeight="1" outlineLevel="2" x14ac:dyDescent="0.2">
      <c r="A21" s="8" t="s">
        <v>112</v>
      </c>
      <c r="B21" s="7">
        <v>11.1</v>
      </c>
      <c r="C21" s="7">
        <v>14.2</v>
      </c>
      <c r="D21" s="7">
        <v>16.2</v>
      </c>
      <c r="E21" s="7">
        <v>17.2</v>
      </c>
      <c r="F21" s="7">
        <v>30</v>
      </c>
    </row>
    <row r="22" spans="1:6" ht="14.95" customHeight="1" outlineLevel="2" x14ac:dyDescent="0.2">
      <c r="A22" s="10" t="s">
        <v>111</v>
      </c>
      <c r="B22" s="9">
        <v>64.900000000000006</v>
      </c>
      <c r="C22" s="9">
        <v>69.900000000000006</v>
      </c>
      <c r="D22" s="9">
        <v>145.19999999999999</v>
      </c>
      <c r="E22" s="9">
        <v>159</v>
      </c>
      <c r="F22" s="9">
        <v>319.5</v>
      </c>
    </row>
    <row r="23" spans="1:6" ht="13.6" outlineLevel="1" x14ac:dyDescent="0.25">
      <c r="A23" s="12" t="s">
        <v>110</v>
      </c>
      <c r="B23" s="11">
        <v>30</v>
      </c>
      <c r="C23" s="11">
        <v>53.9</v>
      </c>
      <c r="D23" s="11">
        <v>79.3</v>
      </c>
      <c r="E23" s="11">
        <v>153.69999999999999</v>
      </c>
      <c r="F23" s="11">
        <v>154.69999999999999</v>
      </c>
    </row>
    <row r="24" spans="1:6" ht="14.95" customHeight="1" outlineLevel="2" x14ac:dyDescent="0.2">
      <c r="A24" s="10" t="s">
        <v>109</v>
      </c>
      <c r="B24" s="3"/>
      <c r="C24" s="3"/>
      <c r="D24" s="9">
        <v>51.9</v>
      </c>
      <c r="E24" s="9">
        <v>116.7</v>
      </c>
      <c r="F24" s="9">
        <v>90.2</v>
      </c>
    </row>
    <row r="25" spans="1:6" ht="14.95" customHeight="1" outlineLevel="2" x14ac:dyDescent="0.2">
      <c r="A25" s="8" t="s">
        <v>108</v>
      </c>
      <c r="B25" s="7">
        <v>30</v>
      </c>
      <c r="C25" s="7">
        <v>53.9</v>
      </c>
      <c r="D25" s="7">
        <v>27.4</v>
      </c>
      <c r="E25" s="7">
        <v>37</v>
      </c>
      <c r="F25" s="7">
        <v>64.5</v>
      </c>
    </row>
    <row r="26" spans="1:6" ht="14.95" customHeight="1" outlineLevel="1" x14ac:dyDescent="0.2">
      <c r="A26" s="30" t="s">
        <v>107</v>
      </c>
      <c r="B26" s="9">
        <v>1969.4</v>
      </c>
      <c r="C26" s="9">
        <v>3424.8</v>
      </c>
      <c r="D26" s="9">
        <v>3684.4</v>
      </c>
      <c r="E26" s="9">
        <v>3668.8</v>
      </c>
      <c r="F26" s="9">
        <v>4425.8999999999996</v>
      </c>
    </row>
    <row r="27" spans="1:6" ht="13.6" outlineLevel="1" x14ac:dyDescent="0.25">
      <c r="A27" s="12" t="s">
        <v>106</v>
      </c>
      <c r="B27" s="11">
        <v>392.8</v>
      </c>
      <c r="C27" s="11">
        <v>608.6</v>
      </c>
      <c r="D27" s="11">
        <v>889.9</v>
      </c>
      <c r="E27" s="11">
        <v>1135.5999999999999</v>
      </c>
      <c r="F27" s="11">
        <v>1184.5</v>
      </c>
    </row>
    <row r="28" spans="1:6" ht="13.6" outlineLevel="2" x14ac:dyDescent="0.25">
      <c r="A28" s="35" t="s">
        <v>105</v>
      </c>
      <c r="B28" s="20">
        <v>497.8</v>
      </c>
      <c r="C28" s="20">
        <v>762.8</v>
      </c>
      <c r="D28" s="20">
        <v>1121.4000000000001</v>
      </c>
      <c r="E28" s="20">
        <v>1498.8</v>
      </c>
      <c r="F28" s="20">
        <v>1693.9</v>
      </c>
    </row>
    <row r="29" spans="1:6" ht="14.95" customHeight="1" outlineLevel="3" x14ac:dyDescent="0.2">
      <c r="A29" s="26" t="s">
        <v>104</v>
      </c>
      <c r="B29" s="7">
        <v>15.5</v>
      </c>
      <c r="C29" s="7">
        <v>49.2</v>
      </c>
      <c r="D29" s="7">
        <v>49.1</v>
      </c>
      <c r="E29" s="7">
        <v>54.3</v>
      </c>
      <c r="F29" s="7">
        <v>190.5</v>
      </c>
    </row>
    <row r="30" spans="1:6" ht="14.95" customHeight="1" outlineLevel="3" x14ac:dyDescent="0.2">
      <c r="A30" s="24" t="s">
        <v>103</v>
      </c>
      <c r="B30" s="3"/>
      <c r="C30" s="9">
        <v>15.6</v>
      </c>
      <c r="D30" s="9">
        <v>15.6</v>
      </c>
      <c r="E30" s="9">
        <v>26.9</v>
      </c>
      <c r="F30" s="9">
        <v>34.5</v>
      </c>
    </row>
    <row r="31" spans="1:6" ht="14.95" customHeight="1" outlineLevel="3" x14ac:dyDescent="0.2">
      <c r="A31" s="26" t="s">
        <v>102</v>
      </c>
      <c r="B31" s="7">
        <v>130.19999999999999</v>
      </c>
      <c r="C31" s="7">
        <v>198.9</v>
      </c>
      <c r="D31" s="7">
        <v>272.89999999999998</v>
      </c>
      <c r="E31" s="7">
        <v>449.2</v>
      </c>
      <c r="F31" s="7">
        <v>683.3</v>
      </c>
    </row>
    <row r="32" spans="1:6" ht="14.95" customHeight="1" outlineLevel="3" x14ac:dyDescent="0.2">
      <c r="A32" s="24" t="s">
        <v>101</v>
      </c>
      <c r="B32" s="9">
        <v>132.6</v>
      </c>
      <c r="C32" s="9">
        <v>219</v>
      </c>
      <c r="D32" s="9">
        <v>360.7</v>
      </c>
      <c r="E32" s="9">
        <v>542.6</v>
      </c>
      <c r="F32" s="9">
        <v>328.1</v>
      </c>
    </row>
    <row r="33" spans="1:6" ht="14.95" customHeight="1" outlineLevel="3" x14ac:dyDescent="0.2">
      <c r="A33" s="26" t="s">
        <v>100</v>
      </c>
      <c r="B33" s="7">
        <v>32.700000000000003</v>
      </c>
      <c r="C33" s="7">
        <v>35.700000000000003</v>
      </c>
      <c r="D33" s="7">
        <v>52.7</v>
      </c>
      <c r="E33" s="7">
        <v>48.8</v>
      </c>
      <c r="F33" s="7">
        <v>65.8</v>
      </c>
    </row>
    <row r="34" spans="1:6" ht="14.95" customHeight="1" outlineLevel="3" x14ac:dyDescent="0.2">
      <c r="A34" s="24" t="s">
        <v>99</v>
      </c>
      <c r="B34" s="9">
        <v>115.3</v>
      </c>
      <c r="C34" s="9">
        <v>151.1</v>
      </c>
      <c r="D34" s="9">
        <v>282.3</v>
      </c>
      <c r="E34" s="9">
        <v>297</v>
      </c>
      <c r="F34" s="9">
        <v>320.3</v>
      </c>
    </row>
    <row r="35" spans="1:6" ht="14.95" customHeight="1" outlineLevel="3" x14ac:dyDescent="0.2">
      <c r="A35" s="26" t="s">
        <v>98</v>
      </c>
      <c r="B35" s="7">
        <v>71.5</v>
      </c>
      <c r="C35" s="7">
        <v>93.3</v>
      </c>
      <c r="D35" s="7">
        <v>88.1</v>
      </c>
      <c r="E35" s="7">
        <v>80</v>
      </c>
      <c r="F35" s="7">
        <v>71.400000000000006</v>
      </c>
    </row>
    <row r="36" spans="1:6" ht="14.95" customHeight="1" outlineLevel="2" x14ac:dyDescent="0.2">
      <c r="A36" s="10" t="s">
        <v>97</v>
      </c>
      <c r="B36" s="9">
        <v>105</v>
      </c>
      <c r="C36" s="9">
        <v>154.19999999999999</v>
      </c>
      <c r="D36" s="9">
        <v>231.5</v>
      </c>
      <c r="E36" s="9">
        <v>363.2</v>
      </c>
      <c r="F36" s="9">
        <v>509.4</v>
      </c>
    </row>
    <row r="37" spans="1:6" ht="13.6" outlineLevel="1" x14ac:dyDescent="0.25">
      <c r="A37" s="12" t="s">
        <v>96</v>
      </c>
      <c r="B37" s="11">
        <v>0</v>
      </c>
      <c r="C37" s="11">
        <v>0</v>
      </c>
      <c r="D37" s="11">
        <v>4.5</v>
      </c>
      <c r="E37" s="11">
        <v>19</v>
      </c>
      <c r="F37" s="11">
        <v>38.5</v>
      </c>
    </row>
    <row r="38" spans="1:6" ht="14.95" customHeight="1" outlineLevel="2" x14ac:dyDescent="0.2">
      <c r="A38" s="10" t="s">
        <v>95</v>
      </c>
      <c r="B38" s="9">
        <v>0</v>
      </c>
      <c r="C38" s="9">
        <v>0</v>
      </c>
      <c r="D38" s="9">
        <v>4.5</v>
      </c>
      <c r="E38" s="9">
        <v>19</v>
      </c>
      <c r="F38" s="9">
        <v>38.5</v>
      </c>
    </row>
    <row r="39" spans="1:6" ht="13.6" outlineLevel="1" x14ac:dyDescent="0.25">
      <c r="A39" s="12" t="s">
        <v>94</v>
      </c>
      <c r="B39" s="11">
        <v>18.600000000000001</v>
      </c>
      <c r="C39" s="11">
        <v>19.3</v>
      </c>
      <c r="D39" s="11">
        <v>58</v>
      </c>
      <c r="E39" s="11">
        <v>199</v>
      </c>
      <c r="F39" s="11">
        <v>159.69999999999999</v>
      </c>
    </row>
    <row r="40" spans="1:6" ht="14.95" customHeight="1" outlineLevel="2" x14ac:dyDescent="0.2">
      <c r="A40" s="10" t="s">
        <v>93</v>
      </c>
      <c r="B40" s="9">
        <v>18.600000000000001</v>
      </c>
      <c r="C40" s="9">
        <v>19.3</v>
      </c>
      <c r="D40" s="9">
        <v>26.5</v>
      </c>
      <c r="E40" s="9">
        <v>25.7</v>
      </c>
      <c r="F40" s="9">
        <v>25.2</v>
      </c>
    </row>
    <row r="41" spans="1:6" ht="14.95" customHeight="1" outlineLevel="2" x14ac:dyDescent="0.2">
      <c r="A41" s="8" t="s">
        <v>92</v>
      </c>
      <c r="B41" s="7">
        <v>0</v>
      </c>
      <c r="C41" s="7">
        <v>0</v>
      </c>
      <c r="D41" s="7">
        <v>31.5</v>
      </c>
      <c r="E41" s="7">
        <v>173.3</v>
      </c>
      <c r="F41" s="7">
        <v>134.5</v>
      </c>
    </row>
    <row r="42" spans="1:6" ht="14.95" customHeight="1" outlineLevel="1" x14ac:dyDescent="0.2">
      <c r="A42" s="30" t="s">
        <v>91</v>
      </c>
      <c r="B42" s="3"/>
      <c r="C42" s="9">
        <v>308.60000000000002</v>
      </c>
      <c r="D42" s="9">
        <v>290.5</v>
      </c>
      <c r="E42" s="9">
        <v>341.2</v>
      </c>
      <c r="F42" s="9">
        <v>419.4</v>
      </c>
    </row>
    <row r="43" spans="1:6" ht="13.6" outlineLevel="1" x14ac:dyDescent="0.25">
      <c r="A43" s="12" t="s">
        <v>90</v>
      </c>
      <c r="B43" s="11">
        <v>14.2</v>
      </c>
      <c r="C43" s="11">
        <v>21.4</v>
      </c>
      <c r="D43" s="11">
        <v>6</v>
      </c>
      <c r="E43" s="11">
        <v>28.1</v>
      </c>
      <c r="F43" s="11">
        <v>36.5</v>
      </c>
    </row>
    <row r="44" spans="1:6" ht="14.95" customHeight="1" outlineLevel="2" x14ac:dyDescent="0.2">
      <c r="A44" s="10" t="s">
        <v>89</v>
      </c>
      <c r="B44" s="9">
        <v>14.2</v>
      </c>
      <c r="C44" s="9">
        <v>21.4</v>
      </c>
      <c r="D44" s="9">
        <v>6</v>
      </c>
      <c r="E44" s="9">
        <v>28.1</v>
      </c>
      <c r="F44" s="9">
        <v>36.5</v>
      </c>
    </row>
    <row r="45" spans="1:6" ht="14.95" customHeight="1" outlineLevel="1" x14ac:dyDescent="0.2">
      <c r="A45" s="15" t="s">
        <v>88</v>
      </c>
      <c r="B45" s="7">
        <v>2395</v>
      </c>
      <c r="C45" s="7">
        <v>4382.7</v>
      </c>
      <c r="D45" s="7">
        <v>4933.3</v>
      </c>
      <c r="E45" s="7">
        <v>5391.7</v>
      </c>
      <c r="F45" s="7">
        <v>6264.5</v>
      </c>
    </row>
    <row r="46" spans="1:6" ht="13.6" x14ac:dyDescent="0.25">
      <c r="A46" s="13" t="s">
        <v>87</v>
      </c>
      <c r="B46" s="13"/>
      <c r="C46" s="13"/>
      <c r="D46" s="13"/>
      <c r="E46" s="13"/>
      <c r="F46" s="13"/>
    </row>
    <row r="47" spans="1:6" ht="13.6" outlineLevel="1" x14ac:dyDescent="0.25">
      <c r="A47" s="12" t="s">
        <v>86</v>
      </c>
      <c r="B47" s="23"/>
      <c r="C47" s="23"/>
      <c r="D47" s="23"/>
      <c r="E47" s="23"/>
      <c r="F47" s="23"/>
    </row>
    <row r="48" spans="1:6" ht="14.95" customHeight="1" outlineLevel="2" x14ac:dyDescent="0.2">
      <c r="A48" s="10" t="s">
        <v>85</v>
      </c>
      <c r="B48" s="9">
        <v>13.6</v>
      </c>
      <c r="C48" s="9">
        <v>16.5</v>
      </c>
      <c r="D48" s="9">
        <v>20.5</v>
      </c>
      <c r="E48" s="9">
        <v>793.1</v>
      </c>
      <c r="F48" s="9">
        <v>21.1</v>
      </c>
    </row>
    <row r="49" spans="1:6" ht="14.95" customHeight="1" outlineLevel="2" x14ac:dyDescent="0.2">
      <c r="A49" s="8" t="s">
        <v>84</v>
      </c>
      <c r="B49" s="7">
        <v>102.3</v>
      </c>
      <c r="C49" s="7">
        <v>163.30000000000001</v>
      </c>
      <c r="D49" s="7">
        <v>189.4</v>
      </c>
      <c r="E49" s="7">
        <v>237.9</v>
      </c>
      <c r="F49" s="7">
        <v>276.39999999999998</v>
      </c>
    </row>
    <row r="50" spans="1:6" ht="14.95" customHeight="1" outlineLevel="2" x14ac:dyDescent="0.2">
      <c r="A50" s="10" t="s">
        <v>83</v>
      </c>
      <c r="B50" s="3"/>
      <c r="C50" s="3"/>
      <c r="D50" s="3"/>
      <c r="E50" s="3"/>
      <c r="F50" s="9">
        <v>7.5</v>
      </c>
    </row>
    <row r="51" spans="1:6" ht="13.6" outlineLevel="2" x14ac:dyDescent="0.25">
      <c r="A51" s="25" t="s">
        <v>82</v>
      </c>
      <c r="B51" s="11">
        <v>244.3</v>
      </c>
      <c r="C51" s="11">
        <v>434.3</v>
      </c>
      <c r="D51" s="11">
        <v>510.9</v>
      </c>
      <c r="E51" s="11">
        <v>808.3</v>
      </c>
      <c r="F51" s="11">
        <v>1251</v>
      </c>
    </row>
    <row r="52" spans="1:6" ht="14.95" customHeight="1" outlineLevel="3" x14ac:dyDescent="0.2">
      <c r="A52" s="24" t="s">
        <v>81</v>
      </c>
      <c r="B52" s="9">
        <v>88.5</v>
      </c>
      <c r="C52" s="9">
        <v>114.3</v>
      </c>
      <c r="D52" s="9">
        <v>125.2</v>
      </c>
      <c r="E52" s="9">
        <v>134.30000000000001</v>
      </c>
      <c r="F52" s="9">
        <v>171</v>
      </c>
    </row>
    <row r="53" spans="1:6" ht="14.95" customHeight="1" outlineLevel="3" x14ac:dyDescent="0.2">
      <c r="A53" s="26" t="s">
        <v>80</v>
      </c>
      <c r="B53" s="7">
        <v>155.80000000000001</v>
      </c>
      <c r="C53" s="7">
        <v>320</v>
      </c>
      <c r="D53" s="7">
        <v>385.7</v>
      </c>
      <c r="E53" s="7">
        <v>674</v>
      </c>
      <c r="F53" s="7">
        <v>1080</v>
      </c>
    </row>
    <row r="54" spans="1:6" ht="14.95" customHeight="1" outlineLevel="2" x14ac:dyDescent="0.2">
      <c r="A54" s="10" t="s">
        <v>79</v>
      </c>
      <c r="B54" s="9">
        <v>360.2</v>
      </c>
      <c r="C54" s="9">
        <v>614.1</v>
      </c>
      <c r="D54" s="9">
        <v>720.8</v>
      </c>
      <c r="E54" s="9">
        <v>1839.3</v>
      </c>
      <c r="F54" s="9">
        <v>1556</v>
      </c>
    </row>
    <row r="55" spans="1:6" ht="13.6" outlineLevel="1" x14ac:dyDescent="0.25">
      <c r="A55" s="12" t="s">
        <v>78</v>
      </c>
      <c r="B55" s="23"/>
      <c r="C55" s="23"/>
      <c r="D55" s="23"/>
      <c r="E55" s="23"/>
      <c r="F55" s="23"/>
    </row>
    <row r="56" spans="1:6" ht="13.6" outlineLevel="2" x14ac:dyDescent="0.25">
      <c r="A56" s="35" t="s">
        <v>77</v>
      </c>
      <c r="B56" s="20">
        <v>1146.5</v>
      </c>
      <c r="C56" s="20">
        <v>1823</v>
      </c>
      <c r="D56" s="20">
        <v>2137.4</v>
      </c>
      <c r="E56" s="20">
        <v>1351.9</v>
      </c>
      <c r="F56" s="20">
        <v>2572.9</v>
      </c>
    </row>
    <row r="57" spans="1:6" ht="14.95" customHeight="1" outlineLevel="3" x14ac:dyDescent="0.2">
      <c r="A57" s="26" t="s">
        <v>76</v>
      </c>
      <c r="B57" s="7">
        <v>1059.7</v>
      </c>
      <c r="C57" s="7">
        <v>1667.2</v>
      </c>
      <c r="D57" s="7">
        <v>1981.8</v>
      </c>
      <c r="E57" s="7">
        <v>1197.7</v>
      </c>
      <c r="F57" s="7">
        <v>2434.1999999999998</v>
      </c>
    </row>
    <row r="58" spans="1:6" ht="14.95" customHeight="1" outlineLevel="3" x14ac:dyDescent="0.2">
      <c r="A58" s="24" t="s">
        <v>75</v>
      </c>
      <c r="B58" s="9">
        <v>86.8</v>
      </c>
      <c r="C58" s="9">
        <v>155.80000000000001</v>
      </c>
      <c r="D58" s="9">
        <v>155.6</v>
      </c>
      <c r="E58" s="9">
        <v>154.19999999999999</v>
      </c>
      <c r="F58" s="9">
        <v>138.69999999999999</v>
      </c>
    </row>
    <row r="59" spans="1:6" ht="14.95" customHeight="1" outlineLevel="2" x14ac:dyDescent="0.2">
      <c r="A59" s="8" t="s">
        <v>74</v>
      </c>
      <c r="B59" s="7">
        <v>0</v>
      </c>
      <c r="C59" s="7">
        <v>0</v>
      </c>
      <c r="D59" s="7">
        <v>0</v>
      </c>
      <c r="E59" s="7">
        <v>0</v>
      </c>
      <c r="F59" s="7">
        <v>15.7</v>
      </c>
    </row>
    <row r="60" spans="1:6" ht="14.95" customHeight="1" outlineLevel="2" x14ac:dyDescent="0.2">
      <c r="A60" s="10" t="s">
        <v>73</v>
      </c>
      <c r="B60" s="3"/>
      <c r="C60" s="9">
        <v>92.2</v>
      </c>
      <c r="D60" s="9">
        <v>8.6999999999999993</v>
      </c>
      <c r="E60" s="9">
        <v>37.6</v>
      </c>
      <c r="F60" s="9">
        <v>38.700000000000003</v>
      </c>
    </row>
    <row r="61" spans="1:6" ht="13.6" outlineLevel="2" x14ac:dyDescent="0.25">
      <c r="A61" s="25" t="s">
        <v>72</v>
      </c>
      <c r="B61" s="11">
        <v>5.7</v>
      </c>
      <c r="C61" s="11">
        <v>26.9</v>
      </c>
      <c r="D61" s="11">
        <v>24.3</v>
      </c>
      <c r="E61" s="11">
        <v>31.1</v>
      </c>
      <c r="F61" s="11">
        <v>12.6</v>
      </c>
    </row>
    <row r="62" spans="1:6" ht="14.95" customHeight="1" outlineLevel="3" x14ac:dyDescent="0.2">
      <c r="A62" s="24" t="s">
        <v>71</v>
      </c>
      <c r="B62" s="9">
        <v>5.7</v>
      </c>
      <c r="C62" s="9">
        <v>18.7</v>
      </c>
      <c r="D62" s="9">
        <v>8.1999999999999993</v>
      </c>
      <c r="E62" s="9">
        <v>12.1</v>
      </c>
      <c r="F62" s="9">
        <v>5.2</v>
      </c>
    </row>
    <row r="63" spans="1:6" ht="14.95" customHeight="1" outlineLevel="3" x14ac:dyDescent="0.2">
      <c r="A63" s="26" t="s">
        <v>70</v>
      </c>
      <c r="B63" s="4"/>
      <c r="C63" s="7">
        <v>8.1999999999999993</v>
      </c>
      <c r="D63" s="7">
        <v>16.100000000000001</v>
      </c>
      <c r="E63" s="7">
        <v>19</v>
      </c>
      <c r="F63" s="7">
        <v>7.4</v>
      </c>
    </row>
    <row r="64" spans="1:6" ht="14.95" customHeight="1" outlineLevel="2" x14ac:dyDescent="0.2">
      <c r="A64" s="10" t="s">
        <v>69</v>
      </c>
      <c r="B64" s="9">
        <v>1512.4</v>
      </c>
      <c r="C64" s="9">
        <v>2556.1999999999998</v>
      </c>
      <c r="D64" s="9">
        <v>2891.2</v>
      </c>
      <c r="E64" s="9">
        <v>3259.9</v>
      </c>
      <c r="F64" s="9">
        <v>4195.8999999999996</v>
      </c>
    </row>
    <row r="65" spans="1:6" ht="13.6" outlineLevel="1" x14ac:dyDescent="0.25">
      <c r="A65" s="12" t="s">
        <v>68</v>
      </c>
      <c r="B65" s="23"/>
      <c r="C65" s="23"/>
      <c r="D65" s="23"/>
      <c r="E65" s="23"/>
      <c r="F65" s="23"/>
    </row>
    <row r="66" spans="1:6" ht="13.6" outlineLevel="2" x14ac:dyDescent="0.25">
      <c r="A66" s="35" t="s">
        <v>67</v>
      </c>
      <c r="B66" s="34">
        <v>882.6</v>
      </c>
      <c r="C66" s="34">
        <v>1826.5</v>
      </c>
      <c r="D66" s="34">
        <v>2042.1</v>
      </c>
      <c r="E66" s="34">
        <v>2131.8000000000002</v>
      </c>
      <c r="F66" s="34">
        <v>2068.6</v>
      </c>
    </row>
    <row r="67" spans="1:6" ht="14.95" customHeight="1" outlineLevel="3" x14ac:dyDescent="0.2">
      <c r="A67" s="26" t="s">
        <v>66</v>
      </c>
      <c r="B67" s="5">
        <v>0.1</v>
      </c>
      <c r="C67" s="5">
        <v>0.1</v>
      </c>
      <c r="D67" s="5">
        <v>0.4</v>
      </c>
      <c r="E67" s="5">
        <v>0.4</v>
      </c>
      <c r="F67" s="5">
        <v>0.4</v>
      </c>
    </row>
    <row r="68" spans="1:6" ht="14.95" customHeight="1" outlineLevel="3" x14ac:dyDescent="0.2">
      <c r="A68" s="24" t="s">
        <v>65</v>
      </c>
      <c r="B68" s="31">
        <v>1675.9</v>
      </c>
      <c r="C68" s="31">
        <v>2125.3000000000002</v>
      </c>
      <c r="D68" s="31">
        <v>2108.6999999999998</v>
      </c>
      <c r="E68" s="31">
        <v>2258.1</v>
      </c>
      <c r="F68" s="31">
        <v>3514.6</v>
      </c>
    </row>
    <row r="69" spans="1:6" ht="12.9" outlineLevel="3" x14ac:dyDescent="0.2">
      <c r="A69" s="26" t="s">
        <v>64</v>
      </c>
      <c r="B69" s="33">
        <v>-695.7</v>
      </c>
      <c r="C69" s="33">
        <v>-202.1</v>
      </c>
      <c r="D69" s="5">
        <v>138.69999999999999</v>
      </c>
      <c r="E69" s="5">
        <v>479.9</v>
      </c>
      <c r="F69" s="5">
        <v>1021.4</v>
      </c>
    </row>
    <row r="70" spans="1:6" ht="12.9" outlineLevel="3" x14ac:dyDescent="0.2">
      <c r="A70" s="24" t="s">
        <v>63</v>
      </c>
      <c r="B70" s="3"/>
      <c r="C70" s="3"/>
      <c r="D70" s="31">
        <v>0.5</v>
      </c>
      <c r="E70" s="32">
        <v>-11.6</v>
      </c>
      <c r="F70" s="32">
        <v>-16.7</v>
      </c>
    </row>
    <row r="71" spans="1:6" ht="14.95" customHeight="1" outlineLevel="3" x14ac:dyDescent="0.2">
      <c r="A71" s="26" t="s">
        <v>62</v>
      </c>
      <c r="B71" s="5">
        <v>2.2999999999999998</v>
      </c>
      <c r="C71" s="5">
        <v>3.2</v>
      </c>
      <c r="D71" s="4"/>
      <c r="E71" s="4"/>
      <c r="F71" s="4"/>
    </row>
    <row r="72" spans="1:6" ht="12.9" outlineLevel="3" x14ac:dyDescent="0.2">
      <c r="A72" s="24" t="s">
        <v>61</v>
      </c>
      <c r="B72" s="32">
        <v>-100</v>
      </c>
      <c r="C72" s="32">
        <v>-100</v>
      </c>
      <c r="D72" s="32">
        <v>-206.2</v>
      </c>
      <c r="E72" s="32">
        <v>-595</v>
      </c>
      <c r="F72" s="32">
        <v>-2451.1</v>
      </c>
    </row>
    <row r="73" spans="1:6" ht="14.95" customHeight="1" outlineLevel="2" x14ac:dyDescent="0.2">
      <c r="A73" s="8" t="s">
        <v>60</v>
      </c>
      <c r="B73" s="5">
        <v>882.6</v>
      </c>
      <c r="C73" s="5">
        <v>1826.5</v>
      </c>
      <c r="D73" s="5">
        <v>2042.1</v>
      </c>
      <c r="E73" s="5">
        <v>2131.8000000000002</v>
      </c>
      <c r="F73" s="5">
        <v>2068.6</v>
      </c>
    </row>
    <row r="74" spans="1:6" ht="14.95" customHeight="1" outlineLevel="2" x14ac:dyDescent="0.2">
      <c r="A74" s="10" t="s">
        <v>59</v>
      </c>
      <c r="B74" s="31">
        <v>882.6</v>
      </c>
      <c r="C74" s="31">
        <v>1826.5</v>
      </c>
      <c r="D74" s="31">
        <v>2042.1</v>
      </c>
      <c r="E74" s="31">
        <v>2131.8000000000002</v>
      </c>
      <c r="F74" s="31">
        <v>2068.6</v>
      </c>
    </row>
    <row r="75" spans="1:6" ht="14.95" customHeight="1" outlineLevel="1" x14ac:dyDescent="0.2">
      <c r="A75" s="15" t="s">
        <v>58</v>
      </c>
      <c r="B75" s="5">
        <v>2395</v>
      </c>
      <c r="C75" s="5">
        <v>4382.7</v>
      </c>
      <c r="D75" s="5">
        <v>4933.3</v>
      </c>
      <c r="E75" s="5">
        <v>5391.7</v>
      </c>
      <c r="F75" s="5">
        <v>6264.5</v>
      </c>
    </row>
    <row r="76" spans="1:6" ht="13.6" x14ac:dyDescent="0.25">
      <c r="A76" s="13" t="s">
        <v>20</v>
      </c>
      <c r="B76" s="13"/>
      <c r="C76" s="13"/>
      <c r="D76" s="13"/>
      <c r="E76" s="13"/>
      <c r="F76" s="13"/>
    </row>
    <row r="77" spans="1:6" ht="14.95" customHeight="1" outlineLevel="1" x14ac:dyDescent="0.2">
      <c r="A77" s="15" t="s">
        <v>57</v>
      </c>
      <c r="B77" s="14">
        <v>2.4088400000000001</v>
      </c>
      <c r="C77" s="14">
        <v>4.7515599999999996</v>
      </c>
      <c r="D77" s="14">
        <v>5.2631399999999999</v>
      </c>
      <c r="E77" s="14">
        <v>5.51851</v>
      </c>
      <c r="F77" s="14">
        <v>5.3674099999999996</v>
      </c>
    </row>
    <row r="78" spans="1:6" ht="14.95" customHeight="1" outlineLevel="1" x14ac:dyDescent="0.2">
      <c r="A78" s="30" t="s">
        <v>56</v>
      </c>
      <c r="B78" s="16">
        <v>2.358079</v>
      </c>
      <c r="C78" s="16">
        <v>4.7013530000000001</v>
      </c>
      <c r="D78" s="16">
        <v>5.1136600000000003</v>
      </c>
      <c r="E78" s="16">
        <v>5.0033649999999996</v>
      </c>
      <c r="F78" s="16">
        <v>4.953036</v>
      </c>
    </row>
    <row r="79" spans="1:6" ht="12.9" x14ac:dyDescent="0.2">
      <c r="A79" s="6" t="s">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89151-29B9-AE4E-9693-D159F9C9915C}">
  <dimension ref="A1:F56"/>
  <sheetViews>
    <sheetView topLeftCell="A14" workbookViewId="0">
      <selection activeCell="F53" sqref="F53"/>
    </sheetView>
  </sheetViews>
  <sheetFormatPr defaultColWidth="9.125" defaultRowHeight="14.95" customHeight="1" outlineLevelRow="3" x14ac:dyDescent="0.2"/>
  <cols>
    <col min="1" max="1" width="54.125" customWidth="1"/>
    <col min="2" max="6" width="8" customWidth="1"/>
  </cols>
  <sheetData>
    <row r="1" spans="1:6" ht="13.6" x14ac:dyDescent="0.25">
      <c r="A1" s="1" t="s">
        <v>55</v>
      </c>
    </row>
    <row r="2" spans="1:6" ht="14.95" customHeight="1" x14ac:dyDescent="0.2">
      <c r="A2" s="28" t="s">
        <v>165</v>
      </c>
    </row>
    <row r="3" spans="1:6" ht="14.95" customHeight="1" x14ac:dyDescent="0.2">
      <c r="A3" s="27"/>
      <c r="B3" s="27"/>
      <c r="C3" s="27"/>
      <c r="D3" s="27"/>
      <c r="E3" s="27"/>
      <c r="F3" s="27"/>
    </row>
    <row r="5" spans="1:6" ht="13.6" x14ac:dyDescent="0.25">
      <c r="A5" s="2" t="s">
        <v>54</v>
      </c>
      <c r="B5" s="2"/>
      <c r="C5" s="2"/>
      <c r="D5" s="2"/>
      <c r="E5" s="2"/>
      <c r="F5" s="2"/>
    </row>
    <row r="6" spans="1:6" ht="13.6" x14ac:dyDescent="0.25">
      <c r="A6" s="2" t="s">
        <v>53</v>
      </c>
      <c r="B6" s="2"/>
      <c r="C6" s="2"/>
      <c r="D6" s="2"/>
      <c r="E6" s="2"/>
      <c r="F6" s="2"/>
    </row>
    <row r="7" spans="1:6" ht="13.6" x14ac:dyDescent="0.25">
      <c r="A7" s="2" t="s">
        <v>52</v>
      </c>
      <c r="B7" s="2"/>
      <c r="C7" s="2"/>
      <c r="D7" s="2"/>
      <c r="E7" s="2"/>
      <c r="F7" s="2"/>
    </row>
    <row r="8" spans="1:6" ht="13.6" x14ac:dyDescent="0.25">
      <c r="A8" s="2"/>
      <c r="B8" s="2" t="s">
        <v>51</v>
      </c>
      <c r="C8" s="2" t="s">
        <v>50</v>
      </c>
      <c r="D8" s="2" t="s">
        <v>49</v>
      </c>
      <c r="E8" s="2" t="s">
        <v>48</v>
      </c>
      <c r="F8" s="2" t="s">
        <v>47</v>
      </c>
    </row>
    <row r="9" spans="1:6" ht="13.6" x14ac:dyDescent="0.25">
      <c r="A9" s="2"/>
      <c r="B9" s="2"/>
      <c r="C9" s="2"/>
      <c r="D9" s="2" t="s">
        <v>46</v>
      </c>
      <c r="E9" s="2"/>
      <c r="F9" s="2"/>
    </row>
    <row r="10" spans="1:6" ht="13.6" x14ac:dyDescent="0.25">
      <c r="A10" s="13" t="s">
        <v>164</v>
      </c>
      <c r="B10" s="13"/>
      <c r="C10" s="13"/>
      <c r="D10" s="13"/>
      <c r="E10" s="13"/>
      <c r="F10" s="13"/>
    </row>
    <row r="11" spans="1:6" ht="14.95" customHeight="1" outlineLevel="1" x14ac:dyDescent="0.2">
      <c r="A11" s="15" t="s">
        <v>163</v>
      </c>
      <c r="B11" s="7">
        <v>101.1</v>
      </c>
      <c r="C11" s="7">
        <v>493.6</v>
      </c>
      <c r="D11" s="7">
        <v>216.9</v>
      </c>
      <c r="E11" s="7">
        <v>341.2</v>
      </c>
      <c r="F11" s="7">
        <v>541.5</v>
      </c>
    </row>
    <row r="12" spans="1:6" ht="13.6" outlineLevel="1" x14ac:dyDescent="0.25">
      <c r="A12" s="18" t="s">
        <v>162</v>
      </c>
      <c r="B12" s="20">
        <v>48.7</v>
      </c>
      <c r="C12" s="20">
        <v>67.099999999999994</v>
      </c>
      <c r="D12" s="20">
        <v>101.9</v>
      </c>
      <c r="E12" s="20">
        <v>155.9</v>
      </c>
      <c r="F12" s="20">
        <v>186</v>
      </c>
    </row>
    <row r="13" spans="1:6" ht="14.95" customHeight="1" outlineLevel="2" x14ac:dyDescent="0.2">
      <c r="A13" s="8" t="s">
        <v>161</v>
      </c>
      <c r="B13" s="7">
        <v>46.9</v>
      </c>
      <c r="C13" s="7">
        <v>64</v>
      </c>
      <c r="D13" s="7">
        <v>96.3</v>
      </c>
      <c r="E13" s="7">
        <v>144.1</v>
      </c>
      <c r="F13" s="7">
        <v>147.4</v>
      </c>
    </row>
    <row r="14" spans="1:6" ht="14.95" customHeight="1" outlineLevel="2" x14ac:dyDescent="0.2">
      <c r="A14" s="10" t="s">
        <v>160</v>
      </c>
      <c r="B14" s="9">
        <v>1.8</v>
      </c>
      <c r="C14" s="9">
        <v>3.1</v>
      </c>
      <c r="D14" s="9">
        <v>5.6</v>
      </c>
      <c r="E14" s="9">
        <v>11.8</v>
      </c>
      <c r="F14" s="9">
        <v>38.6</v>
      </c>
    </row>
    <row r="15" spans="1:6" ht="13.6" outlineLevel="1" x14ac:dyDescent="0.25">
      <c r="A15" s="12" t="s">
        <v>159</v>
      </c>
      <c r="B15" s="11">
        <v>0</v>
      </c>
      <c r="C15" s="11">
        <v>-277.3</v>
      </c>
      <c r="D15" s="11">
        <v>15.8</v>
      </c>
      <c r="E15" s="11">
        <v>-21.6</v>
      </c>
      <c r="F15" s="11">
        <v>-55</v>
      </c>
    </row>
    <row r="16" spans="1:6" ht="12.9" outlineLevel="2" x14ac:dyDescent="0.2">
      <c r="A16" s="10" t="s">
        <v>158</v>
      </c>
      <c r="B16" s="9">
        <v>0</v>
      </c>
      <c r="C16" s="21">
        <v>-277.3</v>
      </c>
      <c r="D16" s="9">
        <v>15.8</v>
      </c>
      <c r="E16" s="21">
        <v>-21.6</v>
      </c>
      <c r="F16" s="21">
        <v>-55</v>
      </c>
    </row>
    <row r="17" spans="1:6" ht="14.95" customHeight="1" outlineLevel="1" x14ac:dyDescent="0.2">
      <c r="A17" s="15" t="s">
        <v>134</v>
      </c>
      <c r="B17" s="7">
        <v>158.6</v>
      </c>
      <c r="C17" s="7">
        <v>213</v>
      </c>
      <c r="D17" s="7">
        <v>239.9</v>
      </c>
      <c r="E17" s="7">
        <v>167.3</v>
      </c>
      <c r="F17" s="7">
        <v>72.8</v>
      </c>
    </row>
    <row r="18" spans="1:6" ht="14.95" customHeight="1" outlineLevel="1" x14ac:dyDescent="0.2">
      <c r="A18" s="30" t="s">
        <v>157</v>
      </c>
      <c r="B18" s="9">
        <v>308.39999999999998</v>
      </c>
      <c r="C18" s="9">
        <v>496.4</v>
      </c>
      <c r="D18" s="9">
        <v>574.5</v>
      </c>
      <c r="E18" s="9">
        <v>642.79999999999995</v>
      </c>
      <c r="F18" s="9">
        <v>745.3</v>
      </c>
    </row>
    <row r="19" spans="1:6" ht="13.6" outlineLevel="1" x14ac:dyDescent="0.25">
      <c r="A19" s="12" t="s">
        <v>156</v>
      </c>
      <c r="B19" s="11">
        <v>6.1</v>
      </c>
      <c r="C19" s="11">
        <v>-20.8</v>
      </c>
      <c r="D19" s="11">
        <v>-132</v>
      </c>
      <c r="E19" s="11">
        <v>26.7</v>
      </c>
      <c r="F19" s="11">
        <v>3.2</v>
      </c>
    </row>
    <row r="20" spans="1:6" ht="12.9" outlineLevel="2" x14ac:dyDescent="0.2">
      <c r="A20" s="10" t="s">
        <v>155</v>
      </c>
      <c r="B20" s="21">
        <v>-60</v>
      </c>
      <c r="C20" s="21">
        <v>-142.30000000000001</v>
      </c>
      <c r="D20" s="21">
        <v>-75.5</v>
      </c>
      <c r="E20" s="21">
        <v>-199.9</v>
      </c>
      <c r="F20" s="21">
        <v>-260.10000000000002</v>
      </c>
    </row>
    <row r="21" spans="1:6" ht="12.9" outlineLevel="2" x14ac:dyDescent="0.2">
      <c r="A21" s="8" t="s">
        <v>114</v>
      </c>
      <c r="B21" s="22">
        <v>-49.1</v>
      </c>
      <c r="C21" s="22">
        <v>-114.5</v>
      </c>
      <c r="D21" s="22">
        <v>-112.2</v>
      </c>
      <c r="E21" s="7">
        <v>49.3</v>
      </c>
      <c r="F21" s="22">
        <v>-252.6</v>
      </c>
    </row>
    <row r="22" spans="1:6" ht="14.95" customHeight="1" outlineLevel="2" x14ac:dyDescent="0.2">
      <c r="A22" s="10" t="s">
        <v>84</v>
      </c>
      <c r="B22" s="9">
        <v>109</v>
      </c>
      <c r="C22" s="9">
        <v>194.5</v>
      </c>
      <c r="D22" s="9">
        <v>58</v>
      </c>
      <c r="E22" s="9">
        <v>295.10000000000002</v>
      </c>
      <c r="F22" s="9">
        <v>466.5</v>
      </c>
    </row>
    <row r="23" spans="1:6" ht="14.95" customHeight="1" outlineLevel="2" x14ac:dyDescent="0.2">
      <c r="A23" s="8" t="s">
        <v>154</v>
      </c>
      <c r="B23" s="7">
        <v>16</v>
      </c>
      <c r="C23" s="7">
        <v>26.1</v>
      </c>
      <c r="D23" s="7">
        <v>10.4</v>
      </c>
      <c r="E23" s="7">
        <v>8.5</v>
      </c>
      <c r="F23" s="7">
        <v>37.200000000000003</v>
      </c>
    </row>
    <row r="24" spans="1:6" ht="12.9" outlineLevel="2" x14ac:dyDescent="0.2">
      <c r="A24" s="10" t="s">
        <v>153</v>
      </c>
      <c r="B24" s="21">
        <v>-9.8000000000000007</v>
      </c>
      <c r="C24" s="9">
        <v>15.4</v>
      </c>
      <c r="D24" s="21">
        <v>-12.7</v>
      </c>
      <c r="E24" s="21">
        <v>-126.3</v>
      </c>
      <c r="F24" s="9">
        <v>12.2</v>
      </c>
    </row>
    <row r="25" spans="1:6" ht="14.95" customHeight="1" outlineLevel="1" x14ac:dyDescent="0.2">
      <c r="A25" s="15" t="s">
        <v>152</v>
      </c>
      <c r="B25" s="7">
        <v>314.5</v>
      </c>
      <c r="C25" s="7">
        <v>475.6</v>
      </c>
      <c r="D25" s="7">
        <v>442.5</v>
      </c>
      <c r="E25" s="7">
        <v>669.5</v>
      </c>
      <c r="F25" s="7">
        <v>748.5</v>
      </c>
    </row>
    <row r="26" spans="1:6" ht="13.6" x14ac:dyDescent="0.25">
      <c r="A26" s="13" t="s">
        <v>151</v>
      </c>
      <c r="B26" s="13"/>
      <c r="C26" s="13"/>
      <c r="D26" s="13"/>
      <c r="E26" s="13"/>
      <c r="F26" s="13"/>
    </row>
    <row r="27" spans="1:6" ht="13.6" outlineLevel="1" x14ac:dyDescent="0.25">
      <c r="A27" s="12" t="s">
        <v>150</v>
      </c>
      <c r="B27" s="11">
        <v>-180</v>
      </c>
      <c r="C27" s="11">
        <v>-199</v>
      </c>
      <c r="D27" s="11">
        <v>-389.2</v>
      </c>
      <c r="E27" s="11">
        <v>-364.8</v>
      </c>
      <c r="F27" s="11">
        <v>-236.6</v>
      </c>
    </row>
    <row r="28" spans="1:6" ht="12.9" outlineLevel="2" x14ac:dyDescent="0.2">
      <c r="A28" s="10" t="s">
        <v>149</v>
      </c>
      <c r="B28" s="21">
        <v>-180</v>
      </c>
      <c r="C28" s="21">
        <v>-199</v>
      </c>
      <c r="D28" s="21">
        <v>-389.2</v>
      </c>
      <c r="E28" s="21">
        <v>-364.8</v>
      </c>
      <c r="F28" s="21">
        <v>-236.6</v>
      </c>
    </row>
    <row r="29" spans="1:6" ht="12.9" outlineLevel="1" x14ac:dyDescent="0.2">
      <c r="A29" s="15" t="s">
        <v>148</v>
      </c>
      <c r="B29" s="7">
        <v>0</v>
      </c>
      <c r="C29" s="7">
        <v>0</v>
      </c>
      <c r="D29" s="22">
        <v>-30.2</v>
      </c>
      <c r="E29" s="22">
        <v>-3.9</v>
      </c>
      <c r="F29" s="7">
        <v>0</v>
      </c>
    </row>
    <row r="30" spans="1:6" ht="13.6" outlineLevel="1" x14ac:dyDescent="0.25">
      <c r="A30" s="18" t="s">
        <v>147</v>
      </c>
      <c r="B30" s="20">
        <v>-835.2</v>
      </c>
      <c r="C30" s="20">
        <v>-807.7</v>
      </c>
      <c r="D30" s="20">
        <v>193.2</v>
      </c>
      <c r="E30" s="20">
        <v>-138.5</v>
      </c>
      <c r="F30" s="20">
        <v>-253</v>
      </c>
    </row>
    <row r="31" spans="1:6" ht="14.95" customHeight="1" outlineLevel="2" x14ac:dyDescent="0.2">
      <c r="A31" s="8" t="s">
        <v>146</v>
      </c>
      <c r="B31" s="7">
        <v>2031.6</v>
      </c>
      <c r="C31" s="7">
        <v>3058.2</v>
      </c>
      <c r="D31" s="7">
        <v>2473.1</v>
      </c>
      <c r="E31" s="7">
        <v>2266.3000000000002</v>
      </c>
      <c r="F31" s="7">
        <v>3200.4</v>
      </c>
    </row>
    <row r="32" spans="1:6" ht="14.95" customHeight="1" outlineLevel="2" x14ac:dyDescent="0.2">
      <c r="A32" s="10" t="s">
        <v>145</v>
      </c>
      <c r="B32" s="9">
        <v>1196.4000000000001</v>
      </c>
      <c r="C32" s="9">
        <v>2250.5</v>
      </c>
      <c r="D32" s="9">
        <v>2666.3</v>
      </c>
      <c r="E32" s="9">
        <v>2127.8000000000002</v>
      </c>
      <c r="F32" s="9">
        <v>2947.4</v>
      </c>
    </row>
    <row r="33" spans="1:6" ht="13.6" outlineLevel="1" x14ac:dyDescent="0.25">
      <c r="A33" s="12" t="s">
        <v>134</v>
      </c>
      <c r="B33" s="11">
        <v>0</v>
      </c>
      <c r="C33" s="11">
        <v>-11.3</v>
      </c>
      <c r="D33" s="11">
        <v>10.1</v>
      </c>
      <c r="E33" s="11">
        <v>-14.3</v>
      </c>
      <c r="F33" s="11">
        <v>-17.600000000000001</v>
      </c>
    </row>
    <row r="34" spans="1:6" ht="12.9" outlineLevel="2" x14ac:dyDescent="0.2">
      <c r="A34" s="10" t="s">
        <v>133</v>
      </c>
      <c r="B34" s="9">
        <v>0</v>
      </c>
      <c r="C34" s="21">
        <v>-11.3</v>
      </c>
      <c r="D34" s="9">
        <v>0</v>
      </c>
      <c r="E34" s="21">
        <v>-14.3</v>
      </c>
      <c r="F34" s="21">
        <v>-17.600000000000001</v>
      </c>
    </row>
    <row r="35" spans="1:6" ht="14.95" customHeight="1" outlineLevel="2" x14ac:dyDescent="0.2">
      <c r="A35" s="8" t="s">
        <v>132</v>
      </c>
      <c r="B35" s="7">
        <v>0</v>
      </c>
      <c r="C35" s="7">
        <v>0</v>
      </c>
      <c r="D35" s="7">
        <v>10.1</v>
      </c>
      <c r="E35" s="7">
        <v>0</v>
      </c>
      <c r="F35" s="7">
        <v>0</v>
      </c>
    </row>
    <row r="36" spans="1:6" ht="12.9" outlineLevel="1" x14ac:dyDescent="0.2">
      <c r="A36" s="30" t="s">
        <v>144</v>
      </c>
      <c r="B36" s="21">
        <v>-1015.2</v>
      </c>
      <c r="C36" s="21">
        <v>-1018</v>
      </c>
      <c r="D36" s="21">
        <v>-216.1</v>
      </c>
      <c r="E36" s="21">
        <v>-521.5</v>
      </c>
      <c r="F36" s="21">
        <v>-507.2</v>
      </c>
    </row>
    <row r="37" spans="1:6" ht="13.6" x14ac:dyDescent="0.25">
      <c r="A37" s="23" t="s">
        <v>143</v>
      </c>
      <c r="B37" s="23"/>
      <c r="C37" s="23"/>
      <c r="D37" s="23"/>
      <c r="E37" s="23"/>
      <c r="F37" s="23"/>
    </row>
    <row r="38" spans="1:6" ht="13.6" outlineLevel="1" x14ac:dyDescent="0.25">
      <c r="A38" s="18" t="s">
        <v>142</v>
      </c>
      <c r="B38" s="20">
        <v>11.9</v>
      </c>
      <c r="C38" s="20">
        <v>15.3</v>
      </c>
      <c r="D38" s="20">
        <v>20.3</v>
      </c>
      <c r="E38" s="20">
        <v>-535.20000000000005</v>
      </c>
      <c r="F38" s="20">
        <v>-662.1</v>
      </c>
    </row>
    <row r="39" spans="1:6" ht="12.9" outlineLevel="2" x14ac:dyDescent="0.2">
      <c r="A39" s="8" t="s">
        <v>141</v>
      </c>
      <c r="B39" s="7">
        <v>0</v>
      </c>
      <c r="C39" s="7">
        <v>0</v>
      </c>
      <c r="D39" s="7">
        <v>0</v>
      </c>
      <c r="E39" s="22">
        <v>-557.70000000000005</v>
      </c>
      <c r="F39" s="22">
        <v>-688.7</v>
      </c>
    </row>
    <row r="40" spans="1:6" ht="13.6" outlineLevel="2" x14ac:dyDescent="0.25">
      <c r="A40" s="35" t="s">
        <v>140</v>
      </c>
      <c r="B40" s="20">
        <v>11.9</v>
      </c>
      <c r="C40" s="20">
        <v>15.3</v>
      </c>
      <c r="D40" s="20">
        <v>20.3</v>
      </c>
      <c r="E40" s="20">
        <v>22.5</v>
      </c>
      <c r="F40" s="20">
        <v>26.6</v>
      </c>
    </row>
    <row r="41" spans="1:6" ht="14.95" customHeight="1" outlineLevel="3" x14ac:dyDescent="0.2">
      <c r="A41" s="26" t="s">
        <v>139</v>
      </c>
      <c r="B41" s="7">
        <v>11.9</v>
      </c>
      <c r="C41" s="7">
        <v>15.3</v>
      </c>
      <c r="D41" s="7">
        <v>20.3</v>
      </c>
      <c r="E41" s="7">
        <v>22.5</v>
      </c>
      <c r="F41" s="7">
        <v>26.6</v>
      </c>
    </row>
    <row r="42" spans="1:6" ht="13.6" outlineLevel="1" x14ac:dyDescent="0.25">
      <c r="A42" s="18" t="s">
        <v>138</v>
      </c>
      <c r="B42" s="20">
        <v>0</v>
      </c>
      <c r="C42" s="20">
        <v>906.2</v>
      </c>
      <c r="D42" s="20">
        <v>0</v>
      </c>
      <c r="E42" s="20">
        <v>0</v>
      </c>
      <c r="F42" s="20">
        <v>443.3</v>
      </c>
    </row>
    <row r="43" spans="1:6" ht="13.6" outlineLevel="2" x14ac:dyDescent="0.25">
      <c r="A43" s="25" t="s">
        <v>137</v>
      </c>
      <c r="B43" s="11">
        <v>0</v>
      </c>
      <c r="C43" s="11">
        <v>906.2</v>
      </c>
      <c r="D43" s="11">
        <v>0</v>
      </c>
      <c r="E43" s="11">
        <v>0</v>
      </c>
      <c r="F43" s="11">
        <v>443.3</v>
      </c>
    </row>
    <row r="44" spans="1:6" ht="14.95" customHeight="1" outlineLevel="3" x14ac:dyDescent="0.2">
      <c r="A44" s="24" t="s">
        <v>136</v>
      </c>
      <c r="B44" s="9">
        <v>0</v>
      </c>
      <c r="C44" s="9">
        <v>1188.8</v>
      </c>
      <c r="D44" s="9">
        <v>0</v>
      </c>
      <c r="E44" s="9">
        <v>0</v>
      </c>
      <c r="F44" s="9">
        <v>1230.5999999999999</v>
      </c>
    </row>
    <row r="45" spans="1:6" ht="12.9" outlineLevel="3" x14ac:dyDescent="0.2">
      <c r="A45" s="26" t="s">
        <v>135</v>
      </c>
      <c r="B45" s="7">
        <v>0</v>
      </c>
      <c r="C45" s="22">
        <v>-282.60000000000002</v>
      </c>
      <c r="D45" s="7">
        <v>0</v>
      </c>
      <c r="E45" s="7">
        <v>0</v>
      </c>
      <c r="F45" s="22">
        <v>-787.3</v>
      </c>
    </row>
    <row r="46" spans="1:6" ht="13.6" outlineLevel="1" x14ac:dyDescent="0.25">
      <c r="A46" s="18" t="s">
        <v>134</v>
      </c>
      <c r="B46" s="20">
        <v>-1.2</v>
      </c>
      <c r="C46" s="20">
        <v>-9.4</v>
      </c>
      <c r="D46" s="20">
        <v>-9.9</v>
      </c>
      <c r="E46" s="20">
        <v>-17.3</v>
      </c>
      <c r="F46" s="20">
        <v>-99.8</v>
      </c>
    </row>
    <row r="47" spans="1:6" ht="12.9" outlineLevel="2" x14ac:dyDescent="0.2">
      <c r="A47" s="8" t="s">
        <v>133</v>
      </c>
      <c r="B47" s="22">
        <v>-1.2</v>
      </c>
      <c r="C47" s="22">
        <v>-9.4</v>
      </c>
      <c r="D47" s="22">
        <v>-9.9</v>
      </c>
      <c r="E47" s="22">
        <v>-17.3</v>
      </c>
      <c r="F47" s="22">
        <v>-101.3</v>
      </c>
    </row>
    <row r="48" spans="1:6" ht="14.95" customHeight="1" outlineLevel="2" x14ac:dyDescent="0.2">
      <c r="A48" s="10" t="s">
        <v>132</v>
      </c>
      <c r="B48" s="9">
        <v>0</v>
      </c>
      <c r="C48" s="9">
        <v>0</v>
      </c>
      <c r="D48" s="9">
        <v>0</v>
      </c>
      <c r="E48" s="9">
        <v>0</v>
      </c>
      <c r="F48" s="9">
        <v>1.5</v>
      </c>
    </row>
    <row r="49" spans="1:6" ht="12.9" outlineLevel="1" x14ac:dyDescent="0.2">
      <c r="A49" s="15" t="s">
        <v>131</v>
      </c>
      <c r="B49" s="7">
        <v>10.7</v>
      </c>
      <c r="C49" s="7">
        <v>912.1</v>
      </c>
      <c r="D49" s="7">
        <v>10.4</v>
      </c>
      <c r="E49" s="22">
        <v>-552.5</v>
      </c>
      <c r="F49" s="22">
        <v>-318.60000000000002</v>
      </c>
    </row>
    <row r="50" spans="1:6" ht="13.6" x14ac:dyDescent="0.25">
      <c r="A50" s="13" t="s">
        <v>130</v>
      </c>
      <c r="B50" s="13"/>
      <c r="C50" s="13"/>
      <c r="D50" s="13"/>
      <c r="E50" s="13"/>
      <c r="F50" s="13"/>
    </row>
    <row r="51" spans="1:6" ht="12.9" outlineLevel="1" x14ac:dyDescent="0.2">
      <c r="A51" s="15" t="s">
        <v>129</v>
      </c>
      <c r="B51" s="22">
        <v>-0.7</v>
      </c>
      <c r="C51" s="7">
        <v>2.1</v>
      </c>
      <c r="D51" s="22">
        <v>-1.4</v>
      </c>
      <c r="E51" s="22">
        <v>-5.8</v>
      </c>
      <c r="F51" s="7">
        <v>1.5</v>
      </c>
    </row>
    <row r="52" spans="1:6" ht="12.9" outlineLevel="1" x14ac:dyDescent="0.2">
      <c r="A52" s="30" t="s">
        <v>128</v>
      </c>
      <c r="B52" s="21">
        <v>-690.7</v>
      </c>
      <c r="C52" s="9">
        <v>371.8</v>
      </c>
      <c r="D52" s="9">
        <v>235.4</v>
      </c>
      <c r="E52" s="21">
        <v>-410.3</v>
      </c>
      <c r="F52" s="21">
        <v>-75.8</v>
      </c>
    </row>
    <row r="53" spans="1:6" ht="13.6" outlineLevel="1" x14ac:dyDescent="0.25">
      <c r="A53" s="12" t="s">
        <v>127</v>
      </c>
      <c r="B53" s="11">
        <v>134.5</v>
      </c>
      <c r="C53" s="11">
        <v>276.60000000000002</v>
      </c>
      <c r="D53" s="11">
        <v>53.3</v>
      </c>
      <c r="E53" s="11">
        <v>304.7</v>
      </c>
      <c r="F53" s="11">
        <v>511.9</v>
      </c>
    </row>
    <row r="54" spans="1:6" ht="14.95" customHeight="1" outlineLevel="2" x14ac:dyDescent="0.2">
      <c r="A54" s="10" t="s">
        <v>126</v>
      </c>
      <c r="B54" s="9">
        <v>0.36430099999999999</v>
      </c>
      <c r="C54" s="9">
        <v>0.70923099999999994</v>
      </c>
      <c r="D54" s="9">
        <v>0.12429999999999999</v>
      </c>
      <c r="E54" s="9">
        <v>0.71274899999999997</v>
      </c>
      <c r="F54" s="9">
        <v>1.203055</v>
      </c>
    </row>
    <row r="55" spans="1:6" ht="14.95" customHeight="1" outlineLevel="2" x14ac:dyDescent="0.2">
      <c r="A55" s="8" t="s">
        <v>125</v>
      </c>
      <c r="B55" s="14">
        <v>0.66618100000000002</v>
      </c>
      <c r="C55" s="14">
        <v>0.76731700000000003</v>
      </c>
      <c r="D55" s="14">
        <v>9.2596999999999999E-2</v>
      </c>
      <c r="E55" s="14">
        <v>0.62941400000000003</v>
      </c>
      <c r="F55" s="14">
        <v>0.96950199999999997</v>
      </c>
    </row>
    <row r="56" spans="1:6" ht="12.9" x14ac:dyDescent="0.2">
      <c r="A56" s="6"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9E513-5FD6-BB48-A76A-DC1DEC52DA2A}">
  <sheetPr>
    <outlinePr summaryBelow="0" summaryRight="0"/>
  </sheetPr>
  <dimension ref="A1:K38"/>
  <sheetViews>
    <sheetView workbookViewId="0">
      <selection activeCell="A4" sqref="A4"/>
    </sheetView>
  </sheetViews>
  <sheetFormatPr defaultColWidth="9.125" defaultRowHeight="14.95" customHeight="1" x14ac:dyDescent="0.2"/>
  <cols>
    <col min="1" max="1" width="25.375" bestFit="1" customWidth="1"/>
    <col min="2" max="4" width="8.125" bestFit="1" customWidth="1"/>
    <col min="5" max="9" width="8.375" bestFit="1" customWidth="1"/>
  </cols>
  <sheetData>
    <row r="1" spans="1:9" ht="14.95" customHeight="1" x14ac:dyDescent="0.25">
      <c r="A1" s="1" t="s">
        <v>199</v>
      </c>
    </row>
    <row r="2" spans="1:9" ht="14.95" customHeight="1" x14ac:dyDescent="0.2">
      <c r="A2" t="s">
        <v>198</v>
      </c>
    </row>
    <row r="3" spans="1:9" ht="14.95" customHeight="1" x14ac:dyDescent="0.25">
      <c r="A3" s="2"/>
      <c r="B3" s="2" t="s">
        <v>1</v>
      </c>
      <c r="C3" s="2" t="s">
        <v>2</v>
      </c>
      <c r="D3" s="2" t="s">
        <v>3</v>
      </c>
      <c r="E3" s="2" t="s">
        <v>4</v>
      </c>
      <c r="F3" s="2" t="s">
        <v>5</v>
      </c>
      <c r="G3" s="2" t="s">
        <v>6</v>
      </c>
      <c r="H3" s="2" t="s">
        <v>7</v>
      </c>
      <c r="I3" s="2" t="s">
        <v>8</v>
      </c>
    </row>
    <row r="4" spans="1:9" ht="14.95" customHeight="1" x14ac:dyDescent="0.2">
      <c r="A4" s="3" t="s">
        <v>9</v>
      </c>
      <c r="B4" s="16">
        <v>2448.5</v>
      </c>
      <c r="C4" s="16">
        <v>2909.8</v>
      </c>
      <c r="D4" s="16">
        <v>3622.3</v>
      </c>
      <c r="E4" s="16">
        <v>4327.5</v>
      </c>
      <c r="F4" s="16">
        <v>5151.91</v>
      </c>
      <c r="G4" s="16">
        <v>6068.34</v>
      </c>
      <c r="H4" s="16">
        <v>6937.92</v>
      </c>
      <c r="I4" s="16">
        <v>7936</v>
      </c>
    </row>
    <row r="5" spans="1:9" ht="14.95" customHeight="1" x14ac:dyDescent="0.2">
      <c r="A5" s="4" t="s">
        <v>188</v>
      </c>
      <c r="B5" s="14">
        <v>2448</v>
      </c>
      <c r="C5" s="14">
        <v>2910</v>
      </c>
      <c r="D5" s="14">
        <v>3620</v>
      </c>
      <c r="E5" s="14">
        <v>4150</v>
      </c>
      <c r="F5" s="41" t="s">
        <v>183</v>
      </c>
      <c r="G5" s="41" t="s">
        <v>183</v>
      </c>
      <c r="H5" s="41" t="s">
        <v>183</v>
      </c>
      <c r="I5" s="41" t="s">
        <v>183</v>
      </c>
    </row>
    <row r="6" spans="1:9" ht="14.95" customHeight="1" x14ac:dyDescent="0.2">
      <c r="A6" s="3" t="s">
        <v>187</v>
      </c>
      <c r="B6" s="42" t="s">
        <v>183</v>
      </c>
      <c r="C6" s="42" t="s">
        <v>183</v>
      </c>
      <c r="D6" s="42" t="s">
        <v>183</v>
      </c>
      <c r="E6" s="16">
        <v>4350</v>
      </c>
      <c r="F6" s="42" t="s">
        <v>183</v>
      </c>
      <c r="G6" s="42" t="s">
        <v>183</v>
      </c>
      <c r="H6" s="42" t="s">
        <v>183</v>
      </c>
      <c r="I6" s="42" t="s">
        <v>183</v>
      </c>
    </row>
    <row r="7" spans="1:9" ht="14.95" customHeight="1" x14ac:dyDescent="0.2">
      <c r="A7" s="4" t="s">
        <v>197</v>
      </c>
      <c r="B7" s="14">
        <v>768</v>
      </c>
      <c r="C7" s="14">
        <v>1024.3</v>
      </c>
      <c r="D7" s="14">
        <v>1305</v>
      </c>
      <c r="E7" s="14">
        <v>1576.48</v>
      </c>
      <c r="F7" s="14">
        <v>1825.17</v>
      </c>
      <c r="G7" s="14">
        <v>2097.7800000000002</v>
      </c>
      <c r="H7" s="14">
        <v>2411.3200000000002</v>
      </c>
      <c r="I7" s="14">
        <v>2775.9</v>
      </c>
    </row>
    <row r="8" spans="1:9" ht="14.95" customHeight="1" x14ac:dyDescent="0.2">
      <c r="A8" s="3" t="s">
        <v>196</v>
      </c>
      <c r="B8" s="42" t="s">
        <v>183</v>
      </c>
      <c r="C8" s="16">
        <v>18.8</v>
      </c>
      <c r="D8" s="16">
        <v>24</v>
      </c>
      <c r="E8" s="16">
        <v>19.7</v>
      </c>
      <c r="F8" s="16">
        <v>19.45</v>
      </c>
      <c r="G8" s="16">
        <v>20.100000000000001</v>
      </c>
      <c r="H8" s="42" t="s">
        <v>183</v>
      </c>
      <c r="I8" s="42" t="s">
        <v>183</v>
      </c>
    </row>
    <row r="9" spans="1:9" ht="14.95" customHeight="1" x14ac:dyDescent="0.2">
      <c r="A9" s="4" t="s">
        <v>188</v>
      </c>
      <c r="B9" s="14">
        <v>26</v>
      </c>
      <c r="C9" s="41" t="s">
        <v>183</v>
      </c>
      <c r="D9" s="41" t="s">
        <v>183</v>
      </c>
      <c r="E9" s="14">
        <v>16</v>
      </c>
      <c r="F9" s="41" t="s">
        <v>183</v>
      </c>
      <c r="G9" s="41" t="s">
        <v>183</v>
      </c>
      <c r="H9" s="41" t="s">
        <v>183</v>
      </c>
      <c r="I9" s="41" t="s">
        <v>183</v>
      </c>
    </row>
    <row r="10" spans="1:9" ht="14.95" customHeight="1" x14ac:dyDescent="0.2">
      <c r="A10" s="3" t="s">
        <v>187</v>
      </c>
      <c r="B10" s="42" t="s">
        <v>183</v>
      </c>
      <c r="C10" s="42" t="s">
        <v>183</v>
      </c>
      <c r="D10" s="42" t="s">
        <v>183</v>
      </c>
      <c r="E10" s="16">
        <v>21</v>
      </c>
      <c r="F10" s="42" t="s">
        <v>183</v>
      </c>
      <c r="G10" s="42" t="s">
        <v>183</v>
      </c>
      <c r="H10" s="42" t="s">
        <v>183</v>
      </c>
      <c r="I10" s="42" t="s">
        <v>183</v>
      </c>
    </row>
    <row r="11" spans="1:9" ht="14.95" customHeight="1" x14ac:dyDescent="0.2">
      <c r="A11" s="4" t="s">
        <v>41</v>
      </c>
      <c r="B11" s="14">
        <v>1680.5</v>
      </c>
      <c r="C11" s="14">
        <v>1883.1</v>
      </c>
      <c r="D11" s="14">
        <v>2317.5</v>
      </c>
      <c r="E11" s="14">
        <v>2753.42</v>
      </c>
      <c r="F11" s="14">
        <v>3346.25</v>
      </c>
      <c r="G11" s="14">
        <v>3991.72</v>
      </c>
      <c r="H11" s="14">
        <v>4565.3</v>
      </c>
      <c r="I11" s="14">
        <v>5234.5</v>
      </c>
    </row>
    <row r="12" spans="1:9" ht="14.95" customHeight="1" x14ac:dyDescent="0.2">
      <c r="A12" s="3" t="s">
        <v>188</v>
      </c>
      <c r="B12" s="16">
        <v>1649</v>
      </c>
      <c r="C12" s="16">
        <v>1843.2</v>
      </c>
      <c r="D12" s="16">
        <v>2288</v>
      </c>
      <c r="E12" s="16">
        <v>2614.5</v>
      </c>
      <c r="F12" s="42" t="s">
        <v>183</v>
      </c>
      <c r="G12" s="42" t="s">
        <v>183</v>
      </c>
      <c r="H12" s="42" t="s">
        <v>183</v>
      </c>
      <c r="I12" s="42" t="s">
        <v>183</v>
      </c>
    </row>
    <row r="13" spans="1:9" ht="14.95" customHeight="1" x14ac:dyDescent="0.2">
      <c r="A13" s="4" t="s">
        <v>187</v>
      </c>
      <c r="B13" s="14">
        <v>1666</v>
      </c>
      <c r="C13" s="14">
        <v>1862.4</v>
      </c>
      <c r="D13" s="14">
        <v>2304</v>
      </c>
      <c r="E13" s="14">
        <v>2784</v>
      </c>
      <c r="F13" s="41" t="s">
        <v>183</v>
      </c>
      <c r="G13" s="41" t="s">
        <v>183</v>
      </c>
      <c r="H13" s="41" t="s">
        <v>183</v>
      </c>
      <c r="I13" s="41" t="s">
        <v>183</v>
      </c>
    </row>
    <row r="14" spans="1:9" ht="14.95" customHeight="1" x14ac:dyDescent="0.2">
      <c r="A14" s="3" t="s">
        <v>40</v>
      </c>
      <c r="B14" s="16">
        <v>798.3</v>
      </c>
      <c r="C14" s="16">
        <v>916.2</v>
      </c>
      <c r="D14" s="16">
        <v>1093.0999999999999</v>
      </c>
      <c r="E14" s="16">
        <v>1311.58</v>
      </c>
      <c r="F14" s="16">
        <v>1540.14</v>
      </c>
      <c r="G14" s="16">
        <v>1775.79</v>
      </c>
      <c r="H14" s="16">
        <v>2003.6</v>
      </c>
      <c r="I14" s="16">
        <v>2260.4299999999998</v>
      </c>
    </row>
    <row r="15" spans="1:9" ht="14.95" customHeight="1" x14ac:dyDescent="0.2">
      <c r="A15" s="4" t="s">
        <v>195</v>
      </c>
      <c r="B15" s="41" t="s">
        <v>183</v>
      </c>
      <c r="C15" s="41" t="s">
        <v>183</v>
      </c>
      <c r="D15" s="41" t="s">
        <v>183</v>
      </c>
      <c r="E15" s="41" t="s">
        <v>183</v>
      </c>
      <c r="F15" s="41" t="s">
        <v>183</v>
      </c>
      <c r="G15" s="41" t="s">
        <v>183</v>
      </c>
      <c r="H15" s="41" t="s">
        <v>183</v>
      </c>
      <c r="I15" s="41" t="s">
        <v>183</v>
      </c>
    </row>
    <row r="16" spans="1:9" ht="14.95" customHeight="1" x14ac:dyDescent="0.2">
      <c r="A16" s="3" t="s">
        <v>194</v>
      </c>
      <c r="B16" s="42" t="s">
        <v>183</v>
      </c>
      <c r="C16" s="42" t="s">
        <v>183</v>
      </c>
      <c r="D16" s="42" t="s">
        <v>183</v>
      </c>
      <c r="E16" s="42" t="s">
        <v>183</v>
      </c>
      <c r="F16" s="42" t="s">
        <v>183</v>
      </c>
      <c r="G16" s="42" t="s">
        <v>183</v>
      </c>
      <c r="H16" s="42" t="s">
        <v>183</v>
      </c>
      <c r="I16" s="42" t="s">
        <v>183</v>
      </c>
    </row>
    <row r="17" spans="1:9" ht="14.95" customHeight="1" x14ac:dyDescent="0.2">
      <c r="A17" s="4" t="s">
        <v>39</v>
      </c>
      <c r="B17" s="14">
        <v>517.1</v>
      </c>
      <c r="C17" s="14">
        <v>484.2</v>
      </c>
      <c r="D17" s="14">
        <v>505.8</v>
      </c>
      <c r="E17" s="14">
        <v>584.71400000000006</v>
      </c>
      <c r="F17" s="14">
        <v>686.70500000000004</v>
      </c>
      <c r="G17" s="14">
        <v>784.44100000000003</v>
      </c>
      <c r="H17" s="14">
        <v>848.6</v>
      </c>
      <c r="I17" s="14">
        <v>958.9</v>
      </c>
    </row>
    <row r="18" spans="1:9" ht="14.95" customHeight="1" x14ac:dyDescent="0.2">
      <c r="A18" s="3" t="s">
        <v>13</v>
      </c>
      <c r="B18" s="16">
        <v>471.49400000000003</v>
      </c>
      <c r="C18" s="16">
        <v>641</v>
      </c>
      <c r="D18" s="16">
        <v>1015</v>
      </c>
      <c r="E18" s="16">
        <v>1221.8599999999999</v>
      </c>
      <c r="F18" s="16">
        <v>1508.46</v>
      </c>
      <c r="G18" s="16">
        <v>1910.33</v>
      </c>
      <c r="H18" s="16">
        <v>2281.75</v>
      </c>
      <c r="I18" s="16">
        <v>2671.3</v>
      </c>
    </row>
    <row r="19" spans="1:9" ht="14.95" customHeight="1" x14ac:dyDescent="0.2">
      <c r="A19" s="4" t="s">
        <v>193</v>
      </c>
      <c r="B19" s="14">
        <v>578.9</v>
      </c>
      <c r="C19" s="14">
        <v>751.6</v>
      </c>
      <c r="D19" s="14">
        <v>1014.5</v>
      </c>
      <c r="E19" s="14">
        <v>1255.42</v>
      </c>
      <c r="F19" s="14">
        <v>1566.03</v>
      </c>
      <c r="G19" s="14">
        <v>1932.95</v>
      </c>
      <c r="H19" s="14">
        <v>2281.75</v>
      </c>
      <c r="I19" s="14">
        <v>2671.3</v>
      </c>
    </row>
    <row r="20" spans="1:9" ht="14.95" customHeight="1" x14ac:dyDescent="0.2">
      <c r="A20" s="3" t="s">
        <v>188</v>
      </c>
      <c r="B20" s="16">
        <v>606.25</v>
      </c>
      <c r="C20" s="16">
        <v>720</v>
      </c>
      <c r="D20" s="16">
        <v>1001</v>
      </c>
      <c r="E20" s="16">
        <v>1203.5</v>
      </c>
      <c r="F20" s="42" t="s">
        <v>183</v>
      </c>
      <c r="G20" s="42" t="s">
        <v>183</v>
      </c>
      <c r="H20" s="42" t="s">
        <v>183</v>
      </c>
      <c r="I20" s="42" t="s">
        <v>183</v>
      </c>
    </row>
    <row r="21" spans="1:9" ht="14.95" customHeight="1" x14ac:dyDescent="0.2">
      <c r="A21" s="4" t="s">
        <v>187</v>
      </c>
      <c r="B21" s="14">
        <v>612.5</v>
      </c>
      <c r="C21" s="14">
        <v>727.5</v>
      </c>
      <c r="D21" s="14">
        <v>1008</v>
      </c>
      <c r="E21" s="14">
        <v>1261.5</v>
      </c>
      <c r="F21" s="41" t="s">
        <v>183</v>
      </c>
      <c r="G21" s="41" t="s">
        <v>183</v>
      </c>
      <c r="H21" s="41" t="s">
        <v>183</v>
      </c>
      <c r="I21" s="41" t="s">
        <v>183</v>
      </c>
    </row>
    <row r="22" spans="1:9" ht="14.95" customHeight="1" x14ac:dyDescent="0.2">
      <c r="A22" s="3" t="s">
        <v>192</v>
      </c>
      <c r="B22" s="16">
        <v>471.49400000000003</v>
      </c>
      <c r="C22" s="16">
        <v>639.79999999999995</v>
      </c>
      <c r="D22" s="16">
        <v>904.8</v>
      </c>
      <c r="E22" s="16">
        <v>1145.83</v>
      </c>
      <c r="F22" s="16">
        <v>1443.4</v>
      </c>
      <c r="G22" s="16">
        <v>1789.71</v>
      </c>
      <c r="H22" s="16">
        <v>2150.5</v>
      </c>
      <c r="I22" s="16">
        <v>2442.6</v>
      </c>
    </row>
    <row r="23" spans="1:9" ht="14.95" customHeight="1" x14ac:dyDescent="0.2">
      <c r="A23" s="4" t="s">
        <v>191</v>
      </c>
      <c r="B23" s="14">
        <v>102</v>
      </c>
      <c r="C23" s="14">
        <v>155.9</v>
      </c>
      <c r="D23" s="14">
        <v>186</v>
      </c>
      <c r="E23" s="14">
        <v>241.99299999999999</v>
      </c>
      <c r="F23" s="14">
        <v>298.92700000000002</v>
      </c>
      <c r="G23" s="14">
        <v>358.83199999999999</v>
      </c>
      <c r="H23" s="41">
        <f>H22-H24</f>
        <v>438.59999999999991</v>
      </c>
      <c r="I23" s="41" t="s">
        <v>183</v>
      </c>
    </row>
    <row r="24" spans="1:9" ht="14.95" customHeight="1" x14ac:dyDescent="0.2">
      <c r="A24" s="3" t="s">
        <v>190</v>
      </c>
      <c r="B24" s="16">
        <v>370.7</v>
      </c>
      <c r="C24" s="16">
        <v>485.1</v>
      </c>
      <c r="D24" s="16">
        <v>718.6</v>
      </c>
      <c r="E24" s="16">
        <v>865.76599999999996</v>
      </c>
      <c r="F24" s="16">
        <v>1120.1300000000001</v>
      </c>
      <c r="G24" s="16">
        <v>1435.31</v>
      </c>
      <c r="H24" s="16">
        <v>1711.9</v>
      </c>
      <c r="I24" s="16">
        <v>2013.65</v>
      </c>
    </row>
    <row r="25" spans="1:9" ht="14.95" customHeight="1" x14ac:dyDescent="0.2">
      <c r="A25" s="4" t="s">
        <v>188</v>
      </c>
      <c r="B25" s="14">
        <v>388</v>
      </c>
      <c r="C25" s="14">
        <v>552.75</v>
      </c>
      <c r="D25" s="14">
        <v>679.25</v>
      </c>
      <c r="E25" s="14">
        <v>830</v>
      </c>
      <c r="F25" s="41" t="s">
        <v>183</v>
      </c>
      <c r="G25" s="41" t="s">
        <v>183</v>
      </c>
      <c r="H25" s="41" t="s">
        <v>183</v>
      </c>
      <c r="I25" s="41" t="s">
        <v>183</v>
      </c>
    </row>
    <row r="26" spans="1:9" ht="14.95" customHeight="1" x14ac:dyDescent="0.2">
      <c r="A26" s="3" t="s">
        <v>187</v>
      </c>
      <c r="B26" s="16">
        <v>392</v>
      </c>
      <c r="C26" s="16">
        <v>575.85</v>
      </c>
      <c r="D26" s="16">
        <v>684</v>
      </c>
      <c r="E26" s="16">
        <v>870</v>
      </c>
      <c r="F26" s="42" t="s">
        <v>183</v>
      </c>
      <c r="G26" s="42" t="s">
        <v>183</v>
      </c>
      <c r="H26" s="42" t="s">
        <v>183</v>
      </c>
      <c r="I26" s="42" t="s">
        <v>183</v>
      </c>
    </row>
    <row r="27" spans="1:9" ht="14.95" customHeight="1" x14ac:dyDescent="0.2">
      <c r="A27" s="4" t="s">
        <v>189</v>
      </c>
      <c r="B27" s="14">
        <v>370.7</v>
      </c>
      <c r="C27" s="14">
        <v>485.1</v>
      </c>
      <c r="D27" s="14">
        <v>718.6</v>
      </c>
      <c r="E27" s="14">
        <v>858.846</v>
      </c>
      <c r="F27" s="14">
        <v>1112.1500000000001</v>
      </c>
      <c r="G27" s="14">
        <v>1424.51</v>
      </c>
      <c r="H27" s="14">
        <v>1721.82</v>
      </c>
      <c r="I27" s="14">
        <v>2028.7</v>
      </c>
    </row>
    <row r="28" spans="1:9" ht="14.95" customHeight="1" x14ac:dyDescent="0.2">
      <c r="A28" s="3" t="s">
        <v>188</v>
      </c>
      <c r="B28" s="16">
        <v>388</v>
      </c>
      <c r="C28" s="16">
        <v>552.75</v>
      </c>
      <c r="D28" s="16">
        <v>679.25</v>
      </c>
      <c r="E28" s="16">
        <v>830</v>
      </c>
      <c r="F28" s="42" t="s">
        <v>183</v>
      </c>
      <c r="G28" s="42" t="s">
        <v>183</v>
      </c>
      <c r="H28" s="42" t="s">
        <v>183</v>
      </c>
      <c r="I28" s="42" t="s">
        <v>183</v>
      </c>
    </row>
    <row r="29" spans="1:9" ht="14.95" customHeight="1" x14ac:dyDescent="0.2">
      <c r="A29" s="4" t="s">
        <v>187</v>
      </c>
      <c r="B29" s="14">
        <v>392</v>
      </c>
      <c r="C29" s="14">
        <v>575.85</v>
      </c>
      <c r="D29" s="14">
        <v>684</v>
      </c>
      <c r="E29" s="14">
        <v>870</v>
      </c>
      <c r="F29" s="41" t="s">
        <v>183</v>
      </c>
      <c r="G29" s="41" t="s">
        <v>183</v>
      </c>
      <c r="H29" s="41" t="s">
        <v>183</v>
      </c>
      <c r="I29" s="41" t="s">
        <v>183</v>
      </c>
    </row>
    <row r="30" spans="1:9" ht="14.95" customHeight="1" x14ac:dyDescent="0.2">
      <c r="A30" s="3" t="s">
        <v>186</v>
      </c>
      <c r="B30" s="16">
        <v>265.8</v>
      </c>
      <c r="C30" s="16">
        <v>391.2</v>
      </c>
      <c r="D30" s="16">
        <v>597.70000000000005</v>
      </c>
      <c r="E30" s="16">
        <v>865.05200000000002</v>
      </c>
      <c r="F30" s="16">
        <v>1154.01</v>
      </c>
      <c r="G30" s="16">
        <v>1479.04</v>
      </c>
      <c r="H30" s="16">
        <v>1688.45</v>
      </c>
      <c r="I30" s="16">
        <v>1971.6</v>
      </c>
    </row>
    <row r="31" spans="1:9" ht="14.95" customHeight="1" x14ac:dyDescent="0.2">
      <c r="A31" s="4" t="s">
        <v>34</v>
      </c>
      <c r="B31" s="14">
        <v>18.149999999999999</v>
      </c>
      <c r="C31" s="14">
        <v>14</v>
      </c>
      <c r="D31" s="14">
        <v>12.05</v>
      </c>
      <c r="E31" s="14">
        <v>12.2333</v>
      </c>
      <c r="F31" s="14">
        <v>11.566700000000001</v>
      </c>
      <c r="G31" s="14">
        <v>12</v>
      </c>
      <c r="H31" s="14">
        <v>5.6</v>
      </c>
      <c r="I31" s="14">
        <v>5.6</v>
      </c>
    </row>
    <row r="32" spans="1:9" ht="14.95" customHeight="1" x14ac:dyDescent="0.2">
      <c r="A32" s="3" t="s">
        <v>29</v>
      </c>
      <c r="B32" s="16">
        <v>351.6</v>
      </c>
      <c r="C32" s="16">
        <v>484.6</v>
      </c>
      <c r="D32" s="16">
        <v>829.85</v>
      </c>
      <c r="E32" s="16">
        <v>938.23400000000004</v>
      </c>
      <c r="F32" s="16">
        <v>1189.6099999999999</v>
      </c>
      <c r="G32" s="16">
        <v>1490.21</v>
      </c>
      <c r="H32" s="16">
        <v>1849.08</v>
      </c>
      <c r="I32" s="16">
        <v>2108.9499999999998</v>
      </c>
    </row>
    <row r="33" spans="1:11" ht="14.95" customHeight="1" x14ac:dyDescent="0.2">
      <c r="A33" s="4" t="s">
        <v>185</v>
      </c>
      <c r="B33" s="14">
        <v>352</v>
      </c>
      <c r="C33" s="14">
        <v>486.9</v>
      </c>
      <c r="D33" s="14">
        <v>833.5</v>
      </c>
      <c r="E33" s="14">
        <v>943.92</v>
      </c>
      <c r="F33" s="14">
        <v>1178.8499999999999</v>
      </c>
      <c r="G33" s="14">
        <v>1496.03</v>
      </c>
      <c r="H33" s="14">
        <v>1713</v>
      </c>
      <c r="I33" s="14">
        <v>2067.8000000000002</v>
      </c>
      <c r="J33" s="39"/>
      <c r="K33" s="39"/>
    </row>
    <row r="34" spans="1:11" ht="14.95" customHeight="1" x14ac:dyDescent="0.2">
      <c r="A34" s="3" t="s">
        <v>184</v>
      </c>
      <c r="B34" s="16">
        <v>351.6</v>
      </c>
      <c r="C34" s="16">
        <v>438.2</v>
      </c>
      <c r="D34" s="16">
        <v>710.4</v>
      </c>
      <c r="E34" s="16">
        <v>904.08100000000002</v>
      </c>
      <c r="F34" s="16">
        <v>1160.47</v>
      </c>
      <c r="G34" s="16">
        <v>1471.16</v>
      </c>
      <c r="H34" s="42" t="s">
        <v>183</v>
      </c>
      <c r="I34" s="42" t="s">
        <v>183</v>
      </c>
    </row>
    <row r="35" spans="1:11" ht="14.95" customHeight="1" x14ac:dyDescent="0.2">
      <c r="A35" s="4" t="s">
        <v>182</v>
      </c>
      <c r="B35" s="14">
        <v>47.6</v>
      </c>
      <c r="C35" s="14">
        <v>134.5</v>
      </c>
      <c r="D35" s="14">
        <v>215.9</v>
      </c>
      <c r="E35" s="14">
        <v>233.76900000000001</v>
      </c>
      <c r="F35" s="14">
        <v>286.16000000000003</v>
      </c>
      <c r="G35" s="14">
        <v>350.48899999999998</v>
      </c>
      <c r="H35" s="14">
        <v>411.82</v>
      </c>
      <c r="I35" s="14">
        <v>460.02499999999998</v>
      </c>
    </row>
    <row r="36" spans="1:11" ht="14.95" customHeight="1" x14ac:dyDescent="0.2">
      <c r="A36" s="3" t="s">
        <v>22</v>
      </c>
      <c r="B36" s="16">
        <v>154.69999999999999</v>
      </c>
      <c r="C36" s="16">
        <v>350</v>
      </c>
      <c r="D36" s="16">
        <v>613.5</v>
      </c>
      <c r="E36" s="16">
        <v>712.154</v>
      </c>
      <c r="F36" s="16">
        <v>912.29700000000003</v>
      </c>
      <c r="G36" s="16">
        <v>1152.94</v>
      </c>
      <c r="H36" s="16">
        <v>1463.1</v>
      </c>
      <c r="I36" s="16">
        <v>1676.27</v>
      </c>
    </row>
    <row r="37" spans="1:11" ht="14.95" customHeight="1" x14ac:dyDescent="0.2">
      <c r="A37" s="4" t="s">
        <v>181</v>
      </c>
      <c r="B37" s="14">
        <v>266.7</v>
      </c>
      <c r="C37" s="14">
        <v>350</v>
      </c>
      <c r="D37" s="14">
        <v>613.5</v>
      </c>
      <c r="E37" s="14">
        <v>711.30399999999997</v>
      </c>
      <c r="F37" s="14">
        <v>911.49300000000005</v>
      </c>
      <c r="G37" s="14">
        <v>1155.96</v>
      </c>
      <c r="H37" s="14">
        <v>1463.1</v>
      </c>
      <c r="I37" s="14">
        <v>1676.27</v>
      </c>
    </row>
    <row r="38" spans="1:11" ht="14.95" customHeight="1" x14ac:dyDescent="0.2">
      <c r="A38" s="3" t="s">
        <v>180</v>
      </c>
      <c r="B38" s="16">
        <v>154.69999999999999</v>
      </c>
      <c r="C38" s="16">
        <v>341.2</v>
      </c>
      <c r="D38" s="16">
        <v>541.5</v>
      </c>
      <c r="E38" s="16">
        <v>697.33100000000002</v>
      </c>
      <c r="F38" s="16">
        <v>903.16700000000003</v>
      </c>
      <c r="G38" s="16">
        <v>1157.0999999999999</v>
      </c>
      <c r="H38" s="16">
        <v>1399</v>
      </c>
      <c r="I38" s="16">
        <v>1631.75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9677B-352E-2B48-80D7-72D2947A8B7E}">
  <sheetPr>
    <outlinePr summaryBelow="0" summaryRight="0"/>
  </sheetPr>
  <dimension ref="A1:I14"/>
  <sheetViews>
    <sheetView workbookViewId="0">
      <selection activeCell="E15" sqref="E15"/>
    </sheetView>
  </sheetViews>
  <sheetFormatPr defaultColWidth="9.125" defaultRowHeight="14.95" customHeight="1" x14ac:dyDescent="0.2"/>
  <cols>
    <col min="1" max="1" width="17" customWidth="1"/>
    <col min="2" max="4" width="7.625" customWidth="1"/>
    <col min="5" max="9" width="8.875" customWidth="1"/>
  </cols>
  <sheetData>
    <row r="1" spans="1:9" ht="14.95" customHeight="1" x14ac:dyDescent="0.25">
      <c r="A1" s="1" t="s">
        <v>0</v>
      </c>
    </row>
    <row r="2" spans="1:9" ht="14.95" customHeight="1" x14ac:dyDescent="0.2">
      <c r="A2" t="s">
        <v>212</v>
      </c>
    </row>
    <row r="3" spans="1:9" ht="14.95" customHeight="1" x14ac:dyDescent="0.25">
      <c r="A3" s="2"/>
      <c r="B3" s="2" t="s">
        <v>1</v>
      </c>
      <c r="C3" s="2" t="s">
        <v>2</v>
      </c>
      <c r="D3" s="2" t="s">
        <v>3</v>
      </c>
      <c r="E3" s="2" t="s">
        <v>4</v>
      </c>
      <c r="F3" s="2" t="s">
        <v>5</v>
      </c>
      <c r="G3" s="2" t="s">
        <v>6</v>
      </c>
      <c r="H3" s="2" t="s">
        <v>7</v>
      </c>
      <c r="I3" s="2" t="s">
        <v>8</v>
      </c>
    </row>
    <row r="4" spans="1:9" ht="14.95" customHeight="1" x14ac:dyDescent="0.2">
      <c r="A4" s="3" t="s">
        <v>211</v>
      </c>
      <c r="B4" s="31">
        <v>3715</v>
      </c>
      <c r="C4" s="31">
        <v>3536.5</v>
      </c>
      <c r="D4" s="31">
        <v>4582</v>
      </c>
      <c r="E4" s="31">
        <v>4718.67</v>
      </c>
      <c r="F4" s="31">
        <v>5497.33</v>
      </c>
      <c r="G4" s="31">
        <v>5998.5</v>
      </c>
      <c r="H4" s="3" t="s">
        <v>183</v>
      </c>
      <c r="I4" s="3" t="s">
        <v>183</v>
      </c>
    </row>
    <row r="5" spans="1:9" ht="14.95" customHeight="1" x14ac:dyDescent="0.2">
      <c r="A5" s="4" t="s">
        <v>210</v>
      </c>
      <c r="B5" s="5">
        <v>710</v>
      </c>
      <c r="C5" s="5">
        <v>1839</v>
      </c>
      <c r="D5" s="5">
        <v>1556</v>
      </c>
      <c r="E5" s="5">
        <v>1165</v>
      </c>
      <c r="F5" s="5">
        <v>1348</v>
      </c>
      <c r="G5" s="5">
        <v>1205</v>
      </c>
      <c r="H5" s="4" t="s">
        <v>183</v>
      </c>
      <c r="I5" s="4" t="s">
        <v>183</v>
      </c>
    </row>
    <row r="6" spans="1:9" ht="14.95" customHeight="1" x14ac:dyDescent="0.2">
      <c r="A6" s="3" t="s">
        <v>88</v>
      </c>
      <c r="B6" s="31">
        <v>4829</v>
      </c>
      <c r="C6" s="31">
        <v>5170.5</v>
      </c>
      <c r="D6" s="31">
        <v>6474</v>
      </c>
      <c r="E6" s="31">
        <v>6769</v>
      </c>
      <c r="F6" s="31">
        <v>7655.67</v>
      </c>
      <c r="G6" s="31">
        <v>8137.5</v>
      </c>
      <c r="H6" s="3" t="s">
        <v>183</v>
      </c>
      <c r="I6" s="3" t="s">
        <v>183</v>
      </c>
    </row>
    <row r="7" spans="1:9" ht="14.95" customHeight="1" x14ac:dyDescent="0.2">
      <c r="A7" s="4" t="s">
        <v>209</v>
      </c>
      <c r="B7" s="5">
        <v>0</v>
      </c>
      <c r="C7" s="5">
        <v>0</v>
      </c>
      <c r="D7" s="5">
        <v>0</v>
      </c>
      <c r="E7" s="5">
        <v>62</v>
      </c>
      <c r="F7" s="5">
        <v>62</v>
      </c>
      <c r="G7" s="5">
        <v>0</v>
      </c>
      <c r="H7" s="4" t="s">
        <v>183</v>
      </c>
      <c r="I7" s="4" t="s">
        <v>183</v>
      </c>
    </row>
    <row r="8" spans="1:9" ht="14.95" customHeight="1" x14ac:dyDescent="0.2">
      <c r="A8" s="3" t="s">
        <v>77</v>
      </c>
      <c r="B8" s="31">
        <v>1667</v>
      </c>
      <c r="C8" s="31">
        <v>1198</v>
      </c>
      <c r="D8" s="31">
        <v>2434</v>
      </c>
      <c r="E8" s="31">
        <v>2434</v>
      </c>
      <c r="F8" s="31">
        <v>2434</v>
      </c>
      <c r="G8" s="31">
        <v>2434</v>
      </c>
      <c r="H8" s="3" t="s">
        <v>183</v>
      </c>
      <c r="I8" s="3" t="s">
        <v>183</v>
      </c>
    </row>
    <row r="9" spans="1:9" ht="14.95" customHeight="1" x14ac:dyDescent="0.2">
      <c r="A9" s="4" t="s">
        <v>208</v>
      </c>
      <c r="B9" s="5">
        <v>1695.2</v>
      </c>
      <c r="C9" s="5">
        <v>1964</v>
      </c>
      <c r="D9" s="5">
        <v>2434.1999999999998</v>
      </c>
      <c r="E9" s="5">
        <v>2465.4699999999998</v>
      </c>
      <c r="F9" s="5">
        <v>2289.4699999999998</v>
      </c>
      <c r="G9" s="5">
        <v>2453.1</v>
      </c>
      <c r="H9" s="4" t="s">
        <v>183</v>
      </c>
      <c r="I9" s="4" t="s">
        <v>183</v>
      </c>
    </row>
    <row r="10" spans="1:9" ht="14.95" customHeight="1" x14ac:dyDescent="0.2">
      <c r="A10" s="3" t="s">
        <v>94</v>
      </c>
      <c r="B10" s="3" t="s">
        <v>183</v>
      </c>
      <c r="C10" s="3" t="s">
        <v>183</v>
      </c>
      <c r="D10" s="3" t="s">
        <v>183</v>
      </c>
      <c r="E10" s="31">
        <v>145</v>
      </c>
      <c r="F10" s="31">
        <v>145</v>
      </c>
      <c r="G10" s="3" t="s">
        <v>183</v>
      </c>
      <c r="H10" s="3" t="s">
        <v>183</v>
      </c>
      <c r="I10" s="3" t="s">
        <v>183</v>
      </c>
    </row>
    <row r="11" spans="1:9" ht="14.95" customHeight="1" x14ac:dyDescent="0.2">
      <c r="A11" s="4" t="s">
        <v>207</v>
      </c>
      <c r="B11" s="4" t="s">
        <v>183</v>
      </c>
      <c r="C11" s="5">
        <v>25.7</v>
      </c>
      <c r="D11" s="5">
        <v>25.3</v>
      </c>
      <c r="E11" s="5">
        <v>25.15</v>
      </c>
      <c r="F11" s="5">
        <v>25.15</v>
      </c>
      <c r="G11" s="4" t="s">
        <v>183</v>
      </c>
      <c r="H11" s="4" t="s">
        <v>183</v>
      </c>
      <c r="I11" s="4" t="s">
        <v>183</v>
      </c>
    </row>
    <row r="12" spans="1:9" ht="14.95" customHeight="1" x14ac:dyDescent="0.2">
      <c r="A12" s="3" t="s">
        <v>206</v>
      </c>
      <c r="B12" s="32">
        <v>-336.50099999999998</v>
      </c>
      <c r="C12" s="31">
        <v>555.4</v>
      </c>
      <c r="D12" s="31">
        <v>836.37</v>
      </c>
      <c r="E12" s="31">
        <v>970.24900000000002</v>
      </c>
      <c r="F12" s="31">
        <v>351.56900000000002</v>
      </c>
      <c r="G12" s="32">
        <v>-1713.58</v>
      </c>
      <c r="H12" s="3" t="s">
        <v>183</v>
      </c>
      <c r="I12" s="3" t="s">
        <v>183</v>
      </c>
    </row>
    <row r="13" spans="1:9" ht="14.95" customHeight="1" x14ac:dyDescent="0.2">
      <c r="A13" s="4" t="s">
        <v>205</v>
      </c>
      <c r="B13" s="5">
        <v>3005.6</v>
      </c>
      <c r="C13" s="5">
        <v>1829.5</v>
      </c>
      <c r="D13" s="5">
        <v>2869.9</v>
      </c>
      <c r="E13" s="5">
        <v>2882.98</v>
      </c>
      <c r="F13" s="5">
        <v>2685.01</v>
      </c>
      <c r="G13" s="5">
        <v>2328.5700000000002</v>
      </c>
      <c r="H13" s="4" t="s">
        <v>183</v>
      </c>
      <c r="I13" s="4" t="s">
        <v>183</v>
      </c>
    </row>
    <row r="14" spans="1:9" ht="14.95" customHeight="1" x14ac:dyDescent="0.2">
      <c r="A14" s="3" t="s">
        <v>204</v>
      </c>
      <c r="B14" s="31">
        <v>2269</v>
      </c>
      <c r="C14" s="31">
        <v>2131.8000000000002</v>
      </c>
      <c r="D14" s="31">
        <v>2513</v>
      </c>
      <c r="E14" s="31">
        <v>2902.08</v>
      </c>
      <c r="F14" s="31">
        <v>3665.91</v>
      </c>
      <c r="G14" s="31">
        <v>3814.5</v>
      </c>
      <c r="H14" s="3" t="s">
        <v>183</v>
      </c>
      <c r="I14" s="3" t="s">
        <v>183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E3F84-9C3A-7A40-B459-6931268FD8FC}">
  <sheetPr>
    <outlinePr summaryBelow="0" summaryRight="0"/>
  </sheetPr>
  <dimension ref="A1:I8"/>
  <sheetViews>
    <sheetView workbookViewId="0">
      <selection activeCell="E4" sqref="E4:G4"/>
    </sheetView>
  </sheetViews>
  <sheetFormatPr defaultColWidth="9.125" defaultRowHeight="14.95" customHeight="1" x14ac:dyDescent="0.2"/>
  <cols>
    <col min="1" max="1" width="23.625" customWidth="1"/>
    <col min="2" max="4" width="7.625" customWidth="1"/>
    <col min="5" max="9" width="8.875" customWidth="1"/>
  </cols>
  <sheetData>
    <row r="1" spans="1:9" ht="14.95" customHeight="1" x14ac:dyDescent="0.25">
      <c r="A1" s="1" t="s">
        <v>0</v>
      </c>
    </row>
    <row r="2" spans="1:9" ht="14.95" customHeight="1" x14ac:dyDescent="0.2">
      <c r="A2" t="s">
        <v>203</v>
      </c>
    </row>
    <row r="3" spans="1:9" ht="14.95" customHeight="1" x14ac:dyDescent="0.25">
      <c r="A3" s="2"/>
      <c r="B3" s="2" t="s">
        <v>1</v>
      </c>
      <c r="C3" s="2" t="s">
        <v>2</v>
      </c>
      <c r="D3" s="2" t="s">
        <v>3</v>
      </c>
      <c r="E3" s="2" t="s">
        <v>4</v>
      </c>
      <c r="F3" s="2" t="s">
        <v>5</v>
      </c>
      <c r="G3" s="2" t="s">
        <v>6</v>
      </c>
      <c r="H3" s="2" t="s">
        <v>7</v>
      </c>
      <c r="I3" s="2" t="s">
        <v>8</v>
      </c>
    </row>
    <row r="4" spans="1:9" ht="14.95" customHeight="1" x14ac:dyDescent="0.2">
      <c r="A4" s="3" t="s">
        <v>150</v>
      </c>
      <c r="B4" s="16">
        <v>365</v>
      </c>
      <c r="C4" s="16">
        <v>365</v>
      </c>
      <c r="D4" s="16">
        <v>237</v>
      </c>
      <c r="E4" s="16">
        <v>325.47500000000002</v>
      </c>
      <c r="F4" s="16">
        <v>340.45400000000001</v>
      </c>
      <c r="G4" s="16">
        <v>377.5</v>
      </c>
      <c r="H4" s="42" t="s">
        <v>183</v>
      </c>
      <c r="I4" s="42" t="s">
        <v>183</v>
      </c>
    </row>
    <row r="5" spans="1:9" ht="14.95" customHeight="1" x14ac:dyDescent="0.2">
      <c r="A5" s="4" t="s">
        <v>127</v>
      </c>
      <c r="B5" s="14">
        <v>145</v>
      </c>
      <c r="C5" s="14">
        <v>304.85000000000002</v>
      </c>
      <c r="D5" s="14">
        <v>511.9</v>
      </c>
      <c r="E5" s="14">
        <v>708.24099999999999</v>
      </c>
      <c r="F5" s="14">
        <v>938.68</v>
      </c>
      <c r="G5" s="14">
        <v>1248.53</v>
      </c>
      <c r="H5" s="14">
        <v>1301</v>
      </c>
      <c r="I5" s="14">
        <v>1592</v>
      </c>
    </row>
    <row r="6" spans="1:9" ht="14.95" customHeight="1" x14ac:dyDescent="0.2">
      <c r="A6" s="3" t="s">
        <v>202</v>
      </c>
      <c r="B6" s="16">
        <v>460.55</v>
      </c>
      <c r="C6" s="16">
        <v>669.75</v>
      </c>
      <c r="D6" s="16">
        <v>749</v>
      </c>
      <c r="E6" s="16">
        <v>1066.94</v>
      </c>
      <c r="F6" s="16">
        <v>1328.67</v>
      </c>
      <c r="G6" s="16">
        <v>1678.17</v>
      </c>
      <c r="H6" s="42" t="s">
        <v>183</v>
      </c>
      <c r="I6" s="42" t="s">
        <v>183</v>
      </c>
    </row>
    <row r="7" spans="1:9" ht="14.95" customHeight="1" x14ac:dyDescent="0.2">
      <c r="A7" s="4" t="s">
        <v>201</v>
      </c>
      <c r="B7" s="14">
        <v>70</v>
      </c>
      <c r="C7" s="43">
        <v>-467.65</v>
      </c>
      <c r="D7" s="43">
        <v>-507</v>
      </c>
      <c r="E7" s="43">
        <v>-49</v>
      </c>
      <c r="F7" s="43">
        <v>-39</v>
      </c>
      <c r="G7" s="14">
        <v>35.666699999999999</v>
      </c>
      <c r="H7" s="41" t="s">
        <v>183</v>
      </c>
      <c r="I7" s="41" t="s">
        <v>183</v>
      </c>
    </row>
    <row r="8" spans="1:9" ht="14.95" customHeight="1" x14ac:dyDescent="0.2">
      <c r="A8" s="3" t="s">
        <v>200</v>
      </c>
      <c r="B8" s="16">
        <v>20</v>
      </c>
      <c r="C8" s="44">
        <v>-554.5</v>
      </c>
      <c r="D8" s="44">
        <v>-5.5</v>
      </c>
      <c r="E8" s="44">
        <v>-449</v>
      </c>
      <c r="F8" s="44">
        <v>-500.33300000000003</v>
      </c>
      <c r="G8" s="44">
        <v>-1000.5</v>
      </c>
      <c r="H8" s="42" t="s">
        <v>183</v>
      </c>
      <c r="I8" s="42" t="s">
        <v>183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DCF - Moderate</vt:lpstr>
      <vt:lpstr>DCF - Aggressive</vt:lpstr>
      <vt:lpstr>DCF - Conservative</vt:lpstr>
      <vt:lpstr>WACC</vt:lpstr>
      <vt:lpstr>IS</vt:lpstr>
      <vt:lpstr>BS</vt:lpstr>
      <vt:lpstr>CFS</vt:lpstr>
      <vt:lpstr>IS est</vt:lpstr>
      <vt:lpstr>BS est</vt:lpstr>
      <vt:lpstr>CFS est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Burke, Brendan L.</cp:lastModifiedBy>
  <dcterms:created xsi:type="dcterms:W3CDTF">2024-03-22T17:04:16Z</dcterms:created>
  <dcterms:modified xsi:type="dcterms:W3CDTF">2025-06-27T16:19:47Z</dcterms:modified>
  <cp:category/>
</cp:coreProperties>
</file>