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Brend\Downloads\"/>
    </mc:Choice>
  </mc:AlternateContent>
  <xr:revisionPtr revIDLastSave="0" documentId="13_ncr:1_{1EE8A3C9-2771-4AE7-9577-904E004B3CE8}" xr6:coauthVersionLast="47" xr6:coauthVersionMax="47" xr10:uidLastSave="{00000000-0000-0000-0000-000000000000}"/>
  <bookViews>
    <workbookView xWindow="-258" yWindow="0" windowWidth="19562" windowHeight="10162" xr2:uid="{00000000-000D-0000-FFFF-FFFF00000000}"/>
  </bookViews>
  <sheets>
    <sheet name="DCF" sheetId="17" r:id="rId1"/>
    <sheet name="BULL DCF" sheetId="20" r:id="rId2"/>
    <sheet name="BEAR DCF" sheetId="21" r:id="rId3"/>
    <sheet name="WACC" sheetId="18" r:id="rId4"/>
    <sheet name="IS" sheetId="2" r:id="rId5"/>
    <sheet name="BS" sheetId="4" r:id="rId6"/>
    <sheet name="CFS" sheetId="5" r:id="rId7"/>
    <sheet name="Valuation Ratio" sheetId="19" r:id="rId8"/>
    <sheet name="Ratio analysis" sheetId="6" r:id="rId9"/>
    <sheet name="NVDA-US BS" sheetId="14" r:id="rId10"/>
    <sheet name="NVDA-US IS" sheetId="16" r:id="rId11"/>
    <sheet name="Leverage avg" sheetId="8" r:id="rId12"/>
    <sheet name="Coverage" sheetId="10" r:id="rId13"/>
    <sheet name="Valuation Avg" sheetId="11" r:id="rId14"/>
    <sheet name="Profitability" sheetId="12" r:id="rId15"/>
  </sheets>
  <definedNames>
    <definedName name="_xlnm._FilterDatabase" localSheetId="0" hidden="1">DCF!$C$74:$L$84</definedName>
    <definedName name="Growth_rate">DCF!$B$9</definedName>
    <definedName name="Growth_rate1">DCF!$B$9</definedName>
    <definedName name="Price">DCF!#REF!</definedName>
    <definedName name="Tax_Rate">DCF!$B$5</definedName>
    <definedName name="WACC">WACC!$E$42</definedName>
  </definedNames>
  <calcPr calcId="191028"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17" l="1"/>
  <c r="H17" i="17"/>
  <c r="J17" i="17"/>
  <c r="H18" i="17"/>
  <c r="J18" i="17"/>
  <c r="H19" i="17"/>
  <c r="J19" i="17"/>
  <c r="H20" i="17"/>
  <c r="D21" i="17"/>
  <c r="D18" i="17"/>
  <c r="F20" i="17"/>
  <c r="E8" i="21"/>
  <c r="E9" i="21" s="1"/>
  <c r="E10" i="21" s="1"/>
  <c r="E11" i="21" s="1"/>
  <c r="E12" i="21" s="1"/>
  <c r="E13" i="21" s="1"/>
  <c r="E14" i="21" s="1"/>
  <c r="E15" i="21" s="1"/>
  <c r="E16" i="21" s="1"/>
  <c r="E17" i="21" s="1"/>
  <c r="E18" i="21" s="1"/>
  <c r="E19" i="21" s="1"/>
  <c r="E20" i="21" s="1"/>
  <c r="E21" i="21" s="1"/>
  <c r="E22" i="21" s="1"/>
  <c r="E23" i="21" s="1"/>
  <c r="E24" i="21" s="1"/>
  <c r="E25" i="21" s="1"/>
  <c r="E26" i="21" s="1"/>
  <c r="G6" i="21"/>
  <c r="H6" i="21" s="1"/>
  <c r="I6" i="21" s="1"/>
  <c r="J6" i="21" s="1"/>
  <c r="K6" i="21" s="1"/>
  <c r="L6" i="21" s="1"/>
  <c r="M6" i="21" s="1"/>
  <c r="N6" i="21" s="1"/>
  <c r="O6" i="21" s="1"/>
  <c r="P6" i="21" s="1"/>
  <c r="Q6" i="21" s="1"/>
  <c r="R6" i="21" s="1"/>
  <c r="S6" i="21" s="1"/>
  <c r="T6" i="21" s="1"/>
  <c r="A65" i="21"/>
  <c r="A64" i="21"/>
  <c r="A63" i="21"/>
  <c r="T57" i="21"/>
  <c r="S57" i="21"/>
  <c r="R57" i="21"/>
  <c r="Q57" i="21"/>
  <c r="P57" i="21"/>
  <c r="O57" i="21"/>
  <c r="N57" i="21"/>
  <c r="M57" i="21"/>
  <c r="L57" i="21"/>
  <c r="K57" i="21"/>
  <c r="J57" i="21"/>
  <c r="A57" i="21"/>
  <c r="T56" i="21"/>
  <c r="S56" i="21"/>
  <c r="R56" i="21"/>
  <c r="Q56" i="21"/>
  <c r="P56" i="21"/>
  <c r="O56" i="21"/>
  <c r="N56" i="21"/>
  <c r="M56" i="21"/>
  <c r="L56" i="21"/>
  <c r="K56" i="21"/>
  <c r="J56" i="21"/>
  <c r="A56" i="21"/>
  <c r="T55" i="21"/>
  <c r="S55" i="21"/>
  <c r="R55" i="21"/>
  <c r="Q55" i="21"/>
  <c r="P55" i="21"/>
  <c r="O55" i="21"/>
  <c r="N55" i="21"/>
  <c r="M55" i="21"/>
  <c r="L55" i="21"/>
  <c r="K55" i="21"/>
  <c r="J55" i="21"/>
  <c r="A55" i="21"/>
  <c r="T54" i="21"/>
  <c r="S54" i="21"/>
  <c r="R54" i="21"/>
  <c r="Q54" i="21"/>
  <c r="P54" i="21"/>
  <c r="O54" i="21"/>
  <c r="N54" i="21"/>
  <c r="M54" i="21"/>
  <c r="L54" i="21"/>
  <c r="K54" i="21"/>
  <c r="J54" i="21"/>
  <c r="A54" i="21"/>
  <c r="A52" i="21"/>
  <c r="T51" i="21"/>
  <c r="S51" i="21"/>
  <c r="R51" i="21"/>
  <c r="Q51" i="21"/>
  <c r="P51" i="21"/>
  <c r="O51" i="21"/>
  <c r="N51" i="21"/>
  <c r="M51" i="21"/>
  <c r="L51" i="21"/>
  <c r="K51" i="21"/>
  <c r="J51" i="21"/>
  <c r="A51" i="21"/>
  <c r="T50" i="21"/>
  <c r="S50" i="21"/>
  <c r="R50" i="21"/>
  <c r="Q50" i="21"/>
  <c r="P50" i="21"/>
  <c r="O50" i="21"/>
  <c r="N50" i="21"/>
  <c r="M50" i="21"/>
  <c r="L50" i="21"/>
  <c r="K50" i="21"/>
  <c r="J50" i="21"/>
  <c r="A50" i="21"/>
  <c r="T49" i="21"/>
  <c r="S49" i="21"/>
  <c r="R49" i="21"/>
  <c r="Q49" i="21"/>
  <c r="P49" i="21"/>
  <c r="O49" i="21"/>
  <c r="N49" i="21"/>
  <c r="M49" i="21"/>
  <c r="L49" i="21"/>
  <c r="K49" i="21"/>
  <c r="J49" i="21"/>
  <c r="I49" i="21"/>
  <c r="H49" i="21"/>
  <c r="G49" i="21" s="1"/>
  <c r="F49" i="21" s="1"/>
  <c r="E49" i="21" s="1"/>
  <c r="D49" i="21" s="1"/>
  <c r="C49" i="21" s="1"/>
  <c r="B49" i="21" s="1"/>
  <c r="B15" i="21" s="1"/>
  <c r="A49" i="21"/>
  <c r="A15" i="21" s="1"/>
  <c r="T48" i="21"/>
  <c r="S48" i="21"/>
  <c r="R48" i="21"/>
  <c r="Q48" i="21"/>
  <c r="P48" i="21"/>
  <c r="O48" i="21"/>
  <c r="N48" i="21"/>
  <c r="M48" i="21"/>
  <c r="L48" i="21"/>
  <c r="K48" i="21"/>
  <c r="J48" i="21"/>
  <c r="A48" i="21"/>
  <c r="A14" i="21" s="1"/>
  <c r="T40" i="21"/>
  <c r="T41" i="21" s="1"/>
  <c r="S40" i="21"/>
  <c r="S41" i="21" s="1"/>
  <c r="R40" i="21"/>
  <c r="Q40" i="21"/>
  <c r="P40" i="21"/>
  <c r="O40" i="21"/>
  <c r="N40" i="21"/>
  <c r="M40" i="21"/>
  <c r="L40" i="21"/>
  <c r="K40" i="21"/>
  <c r="J40" i="21"/>
  <c r="A40" i="21"/>
  <c r="T39" i="21"/>
  <c r="T46" i="21" s="1"/>
  <c r="T62" i="21" s="1"/>
  <c r="I39" i="21"/>
  <c r="I46" i="21" s="1"/>
  <c r="I62" i="21" s="1"/>
  <c r="H39" i="21"/>
  <c r="H46" i="21" s="1"/>
  <c r="H62" i="21" s="1"/>
  <c r="G39" i="21"/>
  <c r="G46" i="21" s="1"/>
  <c r="G62" i="21" s="1"/>
  <c r="F39" i="21"/>
  <c r="F46" i="21" s="1"/>
  <c r="F62" i="21" s="1"/>
  <c r="E39" i="21"/>
  <c r="E46" i="21" s="1"/>
  <c r="E62" i="21" s="1"/>
  <c r="D39" i="21"/>
  <c r="D46" i="21" s="1"/>
  <c r="D62" i="21" s="1"/>
  <c r="C39" i="21"/>
  <c r="C46" i="21" s="1"/>
  <c r="C62" i="21" s="1"/>
  <c r="B39" i="21"/>
  <c r="B46" i="21" s="1"/>
  <c r="B62" i="21" s="1"/>
  <c r="T36" i="21"/>
  <c r="T43" i="21" s="1"/>
  <c r="S36" i="21"/>
  <c r="S43" i="21" s="1"/>
  <c r="R36" i="21"/>
  <c r="R43" i="21" s="1"/>
  <c r="Q36" i="21"/>
  <c r="Q43" i="21" s="1"/>
  <c r="P36" i="21"/>
  <c r="P43" i="21" s="1"/>
  <c r="O36" i="21"/>
  <c r="O43" i="21" s="1"/>
  <c r="N36" i="21"/>
  <c r="N43" i="21" s="1"/>
  <c r="M36" i="21"/>
  <c r="M43" i="21" s="1"/>
  <c r="L36" i="21"/>
  <c r="L43" i="21" s="1"/>
  <c r="K36" i="21"/>
  <c r="K43" i="21" s="1"/>
  <c r="J36" i="21"/>
  <c r="I36" i="21" s="1"/>
  <c r="H36" i="21" s="1"/>
  <c r="G36" i="21" s="1"/>
  <c r="F36" i="21" s="1"/>
  <c r="E36" i="21" s="1"/>
  <c r="D36" i="21" s="1"/>
  <c r="D43" i="21" s="1"/>
  <c r="C36" i="21"/>
  <c r="C43" i="21" s="1"/>
  <c r="B36" i="21"/>
  <c r="B43" i="21" s="1"/>
  <c r="A36" i="21"/>
  <c r="A43" i="21" s="1"/>
  <c r="T35" i="21"/>
  <c r="T42" i="21" s="1"/>
  <c r="S35" i="21"/>
  <c r="S42" i="21" s="1"/>
  <c r="R35" i="21"/>
  <c r="R42" i="21" s="1"/>
  <c r="Q35" i="21"/>
  <c r="Q42" i="21" s="1"/>
  <c r="P35" i="21"/>
  <c r="P42" i="21" s="1"/>
  <c r="O35" i="21"/>
  <c r="O42" i="21" s="1"/>
  <c r="N35" i="21"/>
  <c r="N42" i="21" s="1"/>
  <c r="M35" i="21"/>
  <c r="M42" i="21" s="1"/>
  <c r="L35" i="21"/>
  <c r="K35" i="21"/>
  <c r="K42" i="21" s="1"/>
  <c r="J35" i="21"/>
  <c r="J42" i="21" s="1"/>
  <c r="A35" i="21"/>
  <c r="A42" i="21" s="1"/>
  <c r="T33" i="21"/>
  <c r="S33" i="21"/>
  <c r="R33" i="21"/>
  <c r="Q33" i="21"/>
  <c r="P33" i="21"/>
  <c r="O33" i="21"/>
  <c r="N33" i="21"/>
  <c r="M33" i="21"/>
  <c r="L33" i="21"/>
  <c r="K33" i="21"/>
  <c r="J33" i="21"/>
  <c r="A33" i="21"/>
  <c r="T31" i="21"/>
  <c r="T32" i="21" s="1"/>
  <c r="S31" i="21"/>
  <c r="R31" i="21"/>
  <c r="Q31" i="21"/>
  <c r="P31" i="21"/>
  <c r="O31" i="21"/>
  <c r="N31" i="21"/>
  <c r="M31" i="21"/>
  <c r="L31" i="21"/>
  <c r="K31" i="21"/>
  <c r="J31" i="21"/>
  <c r="A31" i="21"/>
  <c r="T30" i="21"/>
  <c r="S30" i="21"/>
  <c r="R30" i="21"/>
  <c r="Q30" i="21"/>
  <c r="P30" i="21"/>
  <c r="O30" i="21"/>
  <c r="N30" i="21"/>
  <c r="M30" i="21"/>
  <c r="L30" i="21"/>
  <c r="K30" i="21"/>
  <c r="J30" i="21"/>
  <c r="I30" i="21" s="1"/>
  <c r="A30" i="21"/>
  <c r="T29" i="21"/>
  <c r="S29" i="21"/>
  <c r="S39" i="21" s="1"/>
  <c r="S46" i="21" s="1"/>
  <c r="S62" i="21" s="1"/>
  <c r="R29" i="21"/>
  <c r="R39" i="21" s="1"/>
  <c r="R46" i="21" s="1"/>
  <c r="R62" i="21" s="1"/>
  <c r="Q29" i="21"/>
  <c r="Q39" i="21" s="1"/>
  <c r="Q46" i="21" s="1"/>
  <c r="Q62" i="21" s="1"/>
  <c r="P29" i="21"/>
  <c r="P39" i="21" s="1"/>
  <c r="P46" i="21" s="1"/>
  <c r="P62" i="21" s="1"/>
  <c r="O29" i="21"/>
  <c r="O39" i="21" s="1"/>
  <c r="O46" i="21" s="1"/>
  <c r="O62" i="21" s="1"/>
  <c r="N29" i="21"/>
  <c r="N39" i="21" s="1"/>
  <c r="N46" i="21" s="1"/>
  <c r="N62" i="21" s="1"/>
  <c r="M29" i="21"/>
  <c r="M39" i="21" s="1"/>
  <c r="M46" i="21" s="1"/>
  <c r="M62" i="21" s="1"/>
  <c r="L29" i="21"/>
  <c r="L39" i="21" s="1"/>
  <c r="L46" i="21" s="1"/>
  <c r="L62" i="21" s="1"/>
  <c r="K29" i="21"/>
  <c r="K39" i="21" s="1"/>
  <c r="K46" i="21" s="1"/>
  <c r="K62" i="21" s="1"/>
  <c r="J29" i="21"/>
  <c r="J39" i="21" s="1"/>
  <c r="J46" i="21" s="1"/>
  <c r="J62" i="21" s="1"/>
  <c r="B16" i="21"/>
  <c r="A16" i="21"/>
  <c r="B9" i="21"/>
  <c r="B4" i="21" a="1"/>
  <c r="B4" i="21" s="1"/>
  <c r="B19" i="21" s="1"/>
  <c r="B3" i="21" a="1"/>
  <c r="B3" i="21" s="1"/>
  <c r="B2" i="21" a="1"/>
  <c r="B2" i="21" s="1"/>
  <c r="J33" i="17"/>
  <c r="K33" i="17"/>
  <c r="L33" i="17"/>
  <c r="M33" i="17"/>
  <c r="N33" i="17"/>
  <c r="O33" i="17"/>
  <c r="P33" i="17"/>
  <c r="Q33" i="17"/>
  <c r="R33" i="17"/>
  <c r="R35" i="17" s="1"/>
  <c r="S33" i="17"/>
  <c r="S35" i="17" s="1"/>
  <c r="T33" i="17"/>
  <c r="J34" i="17"/>
  <c r="K34" i="17"/>
  <c r="L34" i="17"/>
  <c r="M34" i="17"/>
  <c r="N34" i="17"/>
  <c r="O34" i="17"/>
  <c r="P34" i="17"/>
  <c r="Q34" i="17"/>
  <c r="R34" i="17"/>
  <c r="S34" i="17"/>
  <c r="T34" i="17"/>
  <c r="J36" i="17"/>
  <c r="K36" i="17"/>
  <c r="M36" i="17"/>
  <c r="N36" i="17"/>
  <c r="O36" i="17"/>
  <c r="P36" i="17"/>
  <c r="Q36" i="17"/>
  <c r="R36" i="17"/>
  <c r="S36" i="17"/>
  <c r="T36" i="17"/>
  <c r="L36" i="17"/>
  <c r="M100" i="17"/>
  <c r="N100" i="17" s="1"/>
  <c r="O100" i="17" s="1"/>
  <c r="P100" i="17" s="1"/>
  <c r="Q100" i="17" s="1"/>
  <c r="R100" i="17" s="1"/>
  <c r="S100" i="17" s="1"/>
  <c r="T100" i="17" s="1"/>
  <c r="U100" i="17" s="1"/>
  <c r="V100" i="17" s="1"/>
  <c r="W100" i="17" s="1"/>
  <c r="K102" i="17"/>
  <c r="K103" i="17" s="1"/>
  <c r="K104" i="17" s="1"/>
  <c r="K105" i="17" s="1"/>
  <c r="K106" i="17" s="1"/>
  <c r="K107" i="17" s="1"/>
  <c r="K108" i="17" s="1"/>
  <c r="K109" i="17" s="1"/>
  <c r="K110" i="17" s="1"/>
  <c r="K111" i="17" s="1"/>
  <c r="K112" i="17" s="1"/>
  <c r="K113" i="17" s="1"/>
  <c r="K114" i="17" s="1"/>
  <c r="K115" i="17" s="1"/>
  <c r="K116" i="17" s="1"/>
  <c r="K117" i="17" s="1"/>
  <c r="K118" i="17" s="1"/>
  <c r="K119" i="17" s="1"/>
  <c r="K120" i="17" s="1"/>
  <c r="K121" i="17" s="1"/>
  <c r="B16" i="20"/>
  <c r="G5" i="20"/>
  <c r="H5" i="20" s="1"/>
  <c r="I5" i="20" s="1"/>
  <c r="J5" i="20" s="1"/>
  <c r="K5" i="20" s="1"/>
  <c r="M5" i="20" s="1"/>
  <c r="N5" i="20" s="1"/>
  <c r="O5" i="20" s="1"/>
  <c r="P5" i="20" s="1"/>
  <c r="Q5" i="20" s="1"/>
  <c r="R5" i="20" s="1"/>
  <c r="S5" i="20" s="1"/>
  <c r="T5" i="20" s="1"/>
  <c r="U5" i="20" s="1"/>
  <c r="E7" i="20"/>
  <c r="E8" i="20" s="1"/>
  <c r="E9" i="20" s="1"/>
  <c r="E10" i="20" s="1"/>
  <c r="E11" i="20" s="1"/>
  <c r="E12" i="20" s="1"/>
  <c r="E13" i="20" s="1"/>
  <c r="E14" i="20" s="1"/>
  <c r="E15" i="20" s="1"/>
  <c r="E16" i="20" s="1"/>
  <c r="E17" i="20" s="1"/>
  <c r="E18" i="20" s="1"/>
  <c r="E19" i="20" s="1"/>
  <c r="K40" i="20"/>
  <c r="K41" i="20" s="1"/>
  <c r="L40" i="20"/>
  <c r="L41" i="20" s="1"/>
  <c r="M40" i="20"/>
  <c r="N40" i="20"/>
  <c r="O40" i="20"/>
  <c r="O41" i="20" s="1"/>
  <c r="P40" i="20"/>
  <c r="Q40" i="20"/>
  <c r="R40" i="20"/>
  <c r="S40" i="20"/>
  <c r="T40" i="20"/>
  <c r="D2" i="20"/>
  <c r="D2" i="21" s="1"/>
  <c r="D3" i="20"/>
  <c r="D3" i="21" s="1"/>
  <c r="A65" i="20"/>
  <c r="A64" i="20"/>
  <c r="A63" i="20"/>
  <c r="T57" i="20"/>
  <c r="S57" i="20"/>
  <c r="R57" i="20"/>
  <c r="Q57" i="20"/>
  <c r="P57" i="20"/>
  <c r="O57" i="20"/>
  <c r="N57" i="20"/>
  <c r="M57" i="20"/>
  <c r="L57" i="20"/>
  <c r="K57" i="20"/>
  <c r="J57" i="20"/>
  <c r="A57" i="20"/>
  <c r="T56" i="20"/>
  <c r="S56" i="20"/>
  <c r="R56" i="20"/>
  <c r="Q56" i="20"/>
  <c r="P56" i="20"/>
  <c r="O56" i="20"/>
  <c r="N56" i="20"/>
  <c r="M56" i="20"/>
  <c r="L56" i="20"/>
  <c r="K56" i="20"/>
  <c r="J56" i="20"/>
  <c r="A56" i="20"/>
  <c r="T55" i="20"/>
  <c r="S55" i="20"/>
  <c r="R55" i="20"/>
  <c r="Q55" i="20"/>
  <c r="P55" i="20"/>
  <c r="O55" i="20"/>
  <c r="N55" i="20"/>
  <c r="M55" i="20"/>
  <c r="L55" i="20"/>
  <c r="K55" i="20"/>
  <c r="J55" i="20"/>
  <c r="I55" i="20"/>
  <c r="H55" i="20"/>
  <c r="G55" i="20" s="1"/>
  <c r="F55" i="20" s="1"/>
  <c r="E55" i="20" s="1"/>
  <c r="D55" i="20" s="1"/>
  <c r="C55" i="20" s="1"/>
  <c r="B55" i="20" s="1"/>
  <c r="A55" i="20"/>
  <c r="T54" i="20"/>
  <c r="S54" i="20"/>
  <c r="R54" i="20"/>
  <c r="Q54" i="20"/>
  <c r="P54" i="20"/>
  <c r="O54" i="20"/>
  <c r="N54" i="20"/>
  <c r="M54" i="20"/>
  <c r="L54" i="20"/>
  <c r="K54" i="20"/>
  <c r="K58" i="20" s="1"/>
  <c r="J54" i="20"/>
  <c r="I54" i="20"/>
  <c r="H54" i="20"/>
  <c r="A54" i="20"/>
  <c r="A52" i="20"/>
  <c r="T51" i="20"/>
  <c r="S51" i="20"/>
  <c r="R51" i="20"/>
  <c r="Q51" i="20"/>
  <c r="P51" i="20"/>
  <c r="O51" i="20"/>
  <c r="N51" i="20"/>
  <c r="M51" i="20"/>
  <c r="L51" i="20"/>
  <c r="K51" i="20"/>
  <c r="J51" i="20"/>
  <c r="I51" i="20" s="1"/>
  <c r="H51" i="20" s="1"/>
  <c r="G51" i="20" s="1"/>
  <c r="F51" i="20" s="1"/>
  <c r="E51" i="20" s="1"/>
  <c r="D51" i="20" s="1"/>
  <c r="C51" i="20" s="1"/>
  <c r="B51" i="20" s="1"/>
  <c r="A51" i="20"/>
  <c r="T50" i="20"/>
  <c r="S50" i="20"/>
  <c r="R50" i="20"/>
  <c r="Q50" i="20"/>
  <c r="P50" i="20"/>
  <c r="O50" i="20"/>
  <c r="N50" i="20"/>
  <c r="M50" i="20"/>
  <c r="L50" i="20"/>
  <c r="K50" i="20"/>
  <c r="J50" i="20"/>
  <c r="A50" i="20"/>
  <c r="T49" i="20"/>
  <c r="S49" i="20"/>
  <c r="R49" i="20"/>
  <c r="Q49" i="20"/>
  <c r="P49" i="20"/>
  <c r="O49" i="20"/>
  <c r="N49" i="20"/>
  <c r="M49" i="20"/>
  <c r="L49" i="20"/>
  <c r="K49" i="20"/>
  <c r="I49" i="20" s="1"/>
  <c r="H49" i="20" s="1"/>
  <c r="G49" i="20" s="1"/>
  <c r="F49" i="20" s="1"/>
  <c r="E49" i="20" s="1"/>
  <c r="D49" i="20" s="1"/>
  <c r="C49" i="20" s="1"/>
  <c r="B49" i="20" s="1"/>
  <c r="B15" i="20" s="1"/>
  <c r="J49" i="20"/>
  <c r="A49" i="20"/>
  <c r="A15" i="20" s="1"/>
  <c r="T48" i="20"/>
  <c r="S48" i="20"/>
  <c r="R48" i="20"/>
  <c r="Q48" i="20"/>
  <c r="P48" i="20"/>
  <c r="O48" i="20"/>
  <c r="N48" i="20"/>
  <c r="M48" i="20"/>
  <c r="L48" i="20"/>
  <c r="K48" i="20"/>
  <c r="J48" i="20"/>
  <c r="A48" i="20"/>
  <c r="A14" i="20" s="1"/>
  <c r="M42" i="20"/>
  <c r="J40" i="20"/>
  <c r="A40" i="20"/>
  <c r="T39" i="20"/>
  <c r="T46" i="20" s="1"/>
  <c r="T62" i="20" s="1"/>
  <c r="I39" i="20"/>
  <c r="I46" i="20" s="1"/>
  <c r="I62" i="20" s="1"/>
  <c r="H39" i="20"/>
  <c r="H46" i="20" s="1"/>
  <c r="H62" i="20" s="1"/>
  <c r="G39" i="20"/>
  <c r="G46" i="20" s="1"/>
  <c r="G62" i="20" s="1"/>
  <c r="F39" i="20"/>
  <c r="F46" i="20" s="1"/>
  <c r="F62" i="20" s="1"/>
  <c r="E39" i="20"/>
  <c r="E46" i="20" s="1"/>
  <c r="E62" i="20" s="1"/>
  <c r="D39" i="20"/>
  <c r="D46" i="20" s="1"/>
  <c r="D62" i="20" s="1"/>
  <c r="C39" i="20"/>
  <c r="C46" i="20" s="1"/>
  <c r="C62" i="20" s="1"/>
  <c r="B39" i="20"/>
  <c r="B46" i="20" s="1"/>
  <c r="B62" i="20" s="1"/>
  <c r="T36" i="20"/>
  <c r="T43" i="20" s="1"/>
  <c r="S36" i="20"/>
  <c r="S43" i="20" s="1"/>
  <c r="R36" i="20"/>
  <c r="R43" i="20" s="1"/>
  <c r="Q36" i="20"/>
  <c r="Q43" i="20" s="1"/>
  <c r="P36" i="20"/>
  <c r="P43" i="20" s="1"/>
  <c r="O36" i="20"/>
  <c r="O43" i="20" s="1"/>
  <c r="N36" i="20"/>
  <c r="N43" i="20" s="1"/>
  <c r="M36" i="20"/>
  <c r="M43" i="20" s="1"/>
  <c r="L36" i="20"/>
  <c r="L43" i="20" s="1"/>
  <c r="K36" i="20"/>
  <c r="K43" i="20" s="1"/>
  <c r="J36" i="20"/>
  <c r="I36" i="20" s="1"/>
  <c r="A36" i="20"/>
  <c r="A43" i="20" s="1"/>
  <c r="T35" i="20"/>
  <c r="T42" i="20" s="1"/>
  <c r="S35" i="20"/>
  <c r="S42" i="20" s="1"/>
  <c r="R35" i="20"/>
  <c r="R42" i="20" s="1"/>
  <c r="Q35" i="20"/>
  <c r="Q42" i="20" s="1"/>
  <c r="P35" i="20"/>
  <c r="P42" i="20" s="1"/>
  <c r="O35" i="20"/>
  <c r="O42" i="20" s="1"/>
  <c r="N35" i="20"/>
  <c r="N42" i="20" s="1"/>
  <c r="M35" i="20"/>
  <c r="L35" i="20"/>
  <c r="L42" i="20" s="1"/>
  <c r="K35" i="20"/>
  <c r="K42" i="20" s="1"/>
  <c r="J35" i="20"/>
  <c r="I35" i="20" s="1"/>
  <c r="A35" i="20"/>
  <c r="A42" i="20" s="1"/>
  <c r="T33" i="20"/>
  <c r="T34" i="20" s="1"/>
  <c r="S33" i="20"/>
  <c r="S34" i="20" s="1"/>
  <c r="S37" i="20" s="1"/>
  <c r="S63" i="20" s="1"/>
  <c r="R33" i="20"/>
  <c r="R34" i="20" s="1"/>
  <c r="Q33" i="20"/>
  <c r="P33" i="20"/>
  <c r="O33" i="20"/>
  <c r="N33" i="20"/>
  <c r="M33" i="20"/>
  <c r="L33" i="20"/>
  <c r="K33" i="20"/>
  <c r="J33" i="20"/>
  <c r="A33" i="20"/>
  <c r="T31" i="20"/>
  <c r="T32" i="20" s="1"/>
  <c r="S31" i="20"/>
  <c r="S32" i="20" s="1"/>
  <c r="R31" i="20"/>
  <c r="R32" i="20" s="1"/>
  <c r="Q31" i="20"/>
  <c r="P31" i="20"/>
  <c r="O31" i="20"/>
  <c r="N31" i="20"/>
  <c r="M31" i="20"/>
  <c r="L31" i="20"/>
  <c r="K31" i="20"/>
  <c r="J31" i="20"/>
  <c r="A31" i="20"/>
  <c r="T30" i="20"/>
  <c r="S30" i="20"/>
  <c r="R30" i="20"/>
  <c r="Q30" i="20"/>
  <c r="P30" i="20"/>
  <c r="O30" i="20"/>
  <c r="N30" i="20"/>
  <c r="M30" i="20"/>
  <c r="M41" i="20" s="1"/>
  <c r="L30" i="20"/>
  <c r="K30" i="20"/>
  <c r="J30" i="20"/>
  <c r="A30" i="20"/>
  <c r="T29" i="20"/>
  <c r="S29" i="20"/>
  <c r="S39" i="20" s="1"/>
  <c r="S46" i="20" s="1"/>
  <c r="S62" i="20" s="1"/>
  <c r="R29" i="20"/>
  <c r="R39" i="20" s="1"/>
  <c r="R46" i="20" s="1"/>
  <c r="R62" i="20" s="1"/>
  <c r="Q29" i="20"/>
  <c r="Q39" i="20" s="1"/>
  <c r="Q46" i="20" s="1"/>
  <c r="Q62" i="20" s="1"/>
  <c r="P29" i="20"/>
  <c r="P39" i="20" s="1"/>
  <c r="P46" i="20" s="1"/>
  <c r="P62" i="20" s="1"/>
  <c r="O29" i="20"/>
  <c r="O39" i="20" s="1"/>
  <c r="O46" i="20" s="1"/>
  <c r="O62" i="20" s="1"/>
  <c r="N29" i="20"/>
  <c r="N39" i="20" s="1"/>
  <c r="N46" i="20" s="1"/>
  <c r="N62" i="20" s="1"/>
  <c r="M29" i="20"/>
  <c r="M39" i="20" s="1"/>
  <c r="M46" i="20" s="1"/>
  <c r="M62" i="20" s="1"/>
  <c r="L29" i="20"/>
  <c r="L39" i="20" s="1"/>
  <c r="L46" i="20" s="1"/>
  <c r="L62" i="20" s="1"/>
  <c r="K29" i="20"/>
  <c r="K39" i="20" s="1"/>
  <c r="K46" i="20" s="1"/>
  <c r="K62" i="20" s="1"/>
  <c r="J29" i="20"/>
  <c r="J39" i="20" s="1"/>
  <c r="J46" i="20" s="1"/>
  <c r="J62" i="20" s="1"/>
  <c r="A16" i="20"/>
  <c r="B9" i="20"/>
  <c r="B4" i="20" a="1"/>
  <c r="B4" i="20" s="1"/>
  <c r="B19" i="20" s="1"/>
  <c r="B3" i="20" a="1"/>
  <c r="B3" i="20" s="1"/>
  <c r="B2" i="20" a="1"/>
  <c r="B2" i="20" s="1"/>
  <c r="N21" i="17"/>
  <c r="O21" i="17" s="1"/>
  <c r="P21" i="17" s="1"/>
  <c r="Q21" i="17" s="1"/>
  <c r="R21" i="17" s="1"/>
  <c r="S21" i="17" s="1"/>
  <c r="N19" i="17"/>
  <c r="O19" i="17" s="1"/>
  <c r="P19" i="17" s="1"/>
  <c r="Q19" i="17" s="1"/>
  <c r="R19" i="17" s="1"/>
  <c r="S19" i="17" s="1"/>
  <c r="L13" i="17"/>
  <c r="L11" i="17" s="1"/>
  <c r="N11" i="17" s="1"/>
  <c r="O11" i="17" s="1"/>
  <c r="P11" i="17" s="1"/>
  <c r="Q11" i="17" s="1"/>
  <c r="R11" i="17" s="1"/>
  <c r="S11" i="17" s="1"/>
  <c r="L23" i="17"/>
  <c r="L25" i="17" s="1"/>
  <c r="N25" i="17" s="1"/>
  <c r="O25" i="17" s="1"/>
  <c r="P25" i="17" s="1"/>
  <c r="Q25" i="17" s="1"/>
  <c r="R25" i="17" s="1"/>
  <c r="S25" i="17" s="1"/>
  <c r="N17" i="17"/>
  <c r="O17" i="17" s="1"/>
  <c r="P17" i="17" s="1"/>
  <c r="Q17" i="17" s="1"/>
  <c r="R17" i="17" s="1"/>
  <c r="S17" i="17" s="1"/>
  <c r="N15" i="17"/>
  <c r="O15" i="17" s="1"/>
  <c r="P15" i="17" s="1"/>
  <c r="Q15" i="17" s="1"/>
  <c r="R15" i="17" s="1"/>
  <c r="S15" i="17" s="1"/>
  <c r="B9" i="17"/>
  <c r="E74" i="17"/>
  <c r="F74" i="17" s="1"/>
  <c r="G74" i="17" s="1"/>
  <c r="H74" i="17" s="1"/>
  <c r="I74" i="17" s="1"/>
  <c r="K74" i="17" s="1"/>
  <c r="L74" i="17" s="1"/>
  <c r="M74" i="17" s="1"/>
  <c r="C76" i="17"/>
  <c r="C77" i="17" s="1"/>
  <c r="C78" i="17" s="1"/>
  <c r="C79" i="17" s="1"/>
  <c r="C80" i="17" s="1"/>
  <c r="C81" i="17" s="1"/>
  <c r="C82" i="17" s="1"/>
  <c r="C83" i="17" s="1"/>
  <c r="C84" i="17" s="1"/>
  <c r="C85" i="17" s="1"/>
  <c r="C86" i="17" s="1"/>
  <c r="C87" i="17" s="1"/>
  <c r="C88" i="17" s="1"/>
  <c r="C89" i="17" s="1"/>
  <c r="C90" i="17" s="1"/>
  <c r="C91" i="17" s="1"/>
  <c r="C92" i="17" s="1"/>
  <c r="C93" i="17" s="1"/>
  <c r="C94" i="17" s="1"/>
  <c r="J10" i="17"/>
  <c r="G108" i="17" s="1"/>
  <c r="F10" i="17"/>
  <c r="C108" i="17" s="1"/>
  <c r="E29" i="18"/>
  <c r="E28" i="18"/>
  <c r="E27" i="18"/>
  <c r="E26" i="18"/>
  <c r="E25" i="18"/>
  <c r="E24" i="18"/>
  <c r="E23" i="18"/>
  <c r="E22" i="18"/>
  <c r="E21" i="18"/>
  <c r="E20" i="18"/>
  <c r="E19" i="18"/>
  <c r="E18" i="18"/>
  <c r="E17" i="18"/>
  <c r="E31" i="18"/>
  <c r="B4" i="17" a="1"/>
  <c r="B4" i="17" s="1"/>
  <c r="B19" i="17" s="1"/>
  <c r="B2" i="17" a="1"/>
  <c r="B2" i="17" s="1"/>
  <c r="O9" i="17"/>
  <c r="P9" i="17" s="1"/>
  <c r="Q9" i="17" s="1"/>
  <c r="R9" i="17" s="1"/>
  <c r="G111" i="17"/>
  <c r="G110" i="17" s="1"/>
  <c r="G109" i="17" s="1"/>
  <c r="G107" i="17" s="1"/>
  <c r="G106" i="17" s="1"/>
  <c r="G105" i="17" s="1"/>
  <c r="G104" i="17" s="1"/>
  <c r="G103" i="17" s="1"/>
  <c r="G102" i="17" s="1"/>
  <c r="G101" i="17" s="1"/>
  <c r="G100" i="17" s="1"/>
  <c r="C107" i="17"/>
  <c r="C106" i="17" s="1"/>
  <c r="C105" i="17" s="1"/>
  <c r="C104" i="17" s="1"/>
  <c r="C103" i="17" s="1"/>
  <c r="C102" i="17" s="1"/>
  <c r="C101" i="17" s="1"/>
  <c r="C100" i="17" s="1"/>
  <c r="G113" i="17"/>
  <c r="G114" i="17" s="1"/>
  <c r="G115" i="17" s="1"/>
  <c r="G116" i="17" s="1"/>
  <c r="G117" i="17" s="1"/>
  <c r="G118" i="17" s="1"/>
  <c r="G119" i="17" s="1"/>
  <c r="G120" i="17" s="1"/>
  <c r="G121" i="17" s="1"/>
  <c r="G122" i="17" s="1"/>
  <c r="C110" i="17"/>
  <c r="C111" i="17" s="1"/>
  <c r="C112" i="17" s="1"/>
  <c r="C113" i="17" s="1"/>
  <c r="C114" i="17" s="1"/>
  <c r="C115" i="17" s="1"/>
  <c r="C116" i="17" s="1"/>
  <c r="C117" i="17" s="1"/>
  <c r="H16" i="17"/>
  <c r="D24" i="17"/>
  <c r="H23" i="17" s="1"/>
  <c r="D23" i="17"/>
  <c r="H22" i="17" s="1"/>
  <c r="A16" i="17"/>
  <c r="D20" i="17" s="1"/>
  <c r="E37" i="18"/>
  <c r="E36" i="18"/>
  <c r="E12" i="18"/>
  <c r="E39" i="18"/>
  <c r="B16" i="17"/>
  <c r="E40" i="18"/>
  <c r="B3" i="17" a="1"/>
  <c r="B3" i="17" s="1"/>
  <c r="I42" i="17"/>
  <c r="I49" i="17" s="1"/>
  <c r="I65" i="17" s="1"/>
  <c r="H42" i="17"/>
  <c r="H49" i="17" s="1"/>
  <c r="H65" i="17" s="1"/>
  <c r="G42" i="17"/>
  <c r="G49" i="17" s="1"/>
  <c r="G65" i="17" s="1"/>
  <c r="F42" i="17"/>
  <c r="F49" i="17" s="1"/>
  <c r="F65" i="17" s="1"/>
  <c r="E42" i="17"/>
  <c r="E49" i="17" s="1"/>
  <c r="E65" i="17" s="1"/>
  <c r="D42" i="17"/>
  <c r="D49" i="17" s="1"/>
  <c r="D65" i="17" s="1"/>
  <c r="C42" i="17"/>
  <c r="C49" i="17" s="1"/>
  <c r="C65" i="17" s="1"/>
  <c r="B42" i="17"/>
  <c r="B49" i="17" s="1"/>
  <c r="B65" i="17" s="1"/>
  <c r="A43" i="17"/>
  <c r="J43" i="17"/>
  <c r="K43" i="17"/>
  <c r="L43" i="17"/>
  <c r="M43" i="17"/>
  <c r="N43" i="17"/>
  <c r="O43" i="17"/>
  <c r="P43" i="17"/>
  <c r="Q43" i="17"/>
  <c r="R43" i="17"/>
  <c r="S43" i="17"/>
  <c r="T43" i="17"/>
  <c r="A38" i="17"/>
  <c r="A45" i="17" s="1"/>
  <c r="A33" i="17"/>
  <c r="H12" i="17" s="1"/>
  <c r="A34" i="17"/>
  <c r="D12" i="17" s="1"/>
  <c r="H14" i="17" s="1"/>
  <c r="A66" i="17"/>
  <c r="A67" i="17"/>
  <c r="A68" i="17"/>
  <c r="T60" i="17"/>
  <c r="S60" i="17"/>
  <c r="R60" i="17"/>
  <c r="Q60" i="17"/>
  <c r="P60" i="17"/>
  <c r="O60" i="17"/>
  <c r="N60" i="17"/>
  <c r="M60" i="17"/>
  <c r="L60" i="17"/>
  <c r="K60" i="17"/>
  <c r="J60" i="17"/>
  <c r="T59" i="17"/>
  <c r="S59" i="17"/>
  <c r="R59" i="17"/>
  <c r="Q59" i="17"/>
  <c r="P59" i="17"/>
  <c r="O59" i="17"/>
  <c r="N59" i="17"/>
  <c r="M59" i="17"/>
  <c r="L59" i="17"/>
  <c r="K59" i="17"/>
  <c r="J59" i="17"/>
  <c r="T58" i="17"/>
  <c r="S58" i="17"/>
  <c r="R58" i="17"/>
  <c r="Q58" i="17"/>
  <c r="P58" i="17"/>
  <c r="O58" i="17"/>
  <c r="N58" i="17"/>
  <c r="M58" i="17"/>
  <c r="L58" i="17"/>
  <c r="K58" i="17"/>
  <c r="J58" i="17"/>
  <c r="T57" i="17"/>
  <c r="S57" i="17"/>
  <c r="R57" i="17"/>
  <c r="Q57" i="17"/>
  <c r="P57" i="17"/>
  <c r="O57" i="17"/>
  <c r="N57" i="17"/>
  <c r="M57" i="17"/>
  <c r="L57" i="17"/>
  <c r="K57" i="17"/>
  <c r="J57" i="17"/>
  <c r="A59" i="17"/>
  <c r="A60" i="17"/>
  <c r="A57" i="17"/>
  <c r="A58" i="17"/>
  <c r="A55" i="17"/>
  <c r="A54" i="17"/>
  <c r="J54" i="17"/>
  <c r="K54" i="17"/>
  <c r="L54" i="17"/>
  <c r="M54" i="17"/>
  <c r="N54" i="17"/>
  <c r="O54" i="17"/>
  <c r="P54" i="17"/>
  <c r="Q54" i="17"/>
  <c r="R54" i="17"/>
  <c r="S54" i="17"/>
  <c r="T54" i="17"/>
  <c r="A53" i="17"/>
  <c r="J53" i="17"/>
  <c r="K53" i="17"/>
  <c r="L53" i="17"/>
  <c r="M53" i="17"/>
  <c r="N53" i="17"/>
  <c r="O53" i="17"/>
  <c r="P53" i="17"/>
  <c r="Q53" i="17"/>
  <c r="R53" i="17"/>
  <c r="S53" i="17"/>
  <c r="T53" i="17"/>
  <c r="A52" i="17"/>
  <c r="A15" i="17" s="1"/>
  <c r="D19" i="17" s="1"/>
  <c r="J52" i="17"/>
  <c r="K52" i="17"/>
  <c r="L52" i="17"/>
  <c r="M52" i="17"/>
  <c r="N52" i="17"/>
  <c r="O52" i="17"/>
  <c r="P52" i="17"/>
  <c r="Q52" i="17"/>
  <c r="R52" i="17"/>
  <c r="S52" i="17"/>
  <c r="T52" i="17"/>
  <c r="A51" i="17"/>
  <c r="A14" i="17" s="1"/>
  <c r="J51" i="17"/>
  <c r="K51" i="17"/>
  <c r="L51" i="17"/>
  <c r="M51" i="17"/>
  <c r="N51" i="17"/>
  <c r="O51" i="17"/>
  <c r="P51" i="17"/>
  <c r="Q51" i="17"/>
  <c r="R51" i="17"/>
  <c r="S51" i="17"/>
  <c r="T51" i="17"/>
  <c r="A39" i="17"/>
  <c r="J38" i="17"/>
  <c r="J45" i="17" s="1"/>
  <c r="K38" i="17"/>
  <c r="K45" i="17" s="1"/>
  <c r="L38" i="17"/>
  <c r="L45" i="17" s="1"/>
  <c r="M38" i="17"/>
  <c r="M45" i="17" s="1"/>
  <c r="N38" i="17"/>
  <c r="N45" i="17" s="1"/>
  <c r="O38" i="17"/>
  <c r="O45" i="17" s="1"/>
  <c r="P38" i="17"/>
  <c r="P45" i="17" s="1"/>
  <c r="Q38" i="17"/>
  <c r="Q45" i="17" s="1"/>
  <c r="R38" i="17"/>
  <c r="R45" i="17" s="1"/>
  <c r="S38" i="17"/>
  <c r="S45" i="17" s="1"/>
  <c r="T38" i="17"/>
  <c r="T45" i="17" s="1"/>
  <c r="J39" i="17"/>
  <c r="I39" i="17" s="1"/>
  <c r="I46" i="17" s="1"/>
  <c r="K39" i="17"/>
  <c r="K46" i="17" s="1"/>
  <c r="L39" i="17"/>
  <c r="L46" i="17" s="1"/>
  <c r="M39" i="17"/>
  <c r="M46" i="17" s="1"/>
  <c r="N39" i="17"/>
  <c r="N46" i="17" s="1"/>
  <c r="O39" i="17"/>
  <c r="O46" i="17" s="1"/>
  <c r="P39" i="17"/>
  <c r="P46" i="17" s="1"/>
  <c r="Q39" i="17"/>
  <c r="Q46" i="17" s="1"/>
  <c r="R39" i="17"/>
  <c r="R46" i="17" s="1"/>
  <c r="S39" i="17"/>
  <c r="S46" i="17" s="1"/>
  <c r="T39" i="17"/>
  <c r="T46" i="17" s="1"/>
  <c r="K32" i="17"/>
  <c r="K42" i="17" s="1"/>
  <c r="K49" i="17" s="1"/>
  <c r="K65" i="17" s="1"/>
  <c r="A36" i="17"/>
  <c r="J32" i="17"/>
  <c r="J42" i="17" s="1"/>
  <c r="J49" i="17" s="1"/>
  <c r="J65" i="17" s="1"/>
  <c r="L32" i="17"/>
  <c r="L42" i="17" s="1"/>
  <c r="L49" i="17" s="1"/>
  <c r="L65" i="17" s="1"/>
  <c r="M32" i="17"/>
  <c r="M42" i="17" s="1"/>
  <c r="M49" i="17" s="1"/>
  <c r="M65" i="17" s="1"/>
  <c r="N32" i="17"/>
  <c r="N42" i="17" s="1"/>
  <c r="N49" i="17" s="1"/>
  <c r="N65" i="17" s="1"/>
  <c r="O32" i="17"/>
  <c r="O42" i="17" s="1"/>
  <c r="O49" i="17" s="1"/>
  <c r="O65" i="17" s="1"/>
  <c r="P32" i="17"/>
  <c r="P42" i="17" s="1"/>
  <c r="P49" i="17" s="1"/>
  <c r="P65" i="17" s="1"/>
  <c r="Q32" i="17"/>
  <c r="Q42" i="17" s="1"/>
  <c r="Q49" i="17" s="1"/>
  <c r="Q65" i="17" s="1"/>
  <c r="R32" i="17"/>
  <c r="R42" i="17" s="1"/>
  <c r="R49" i="17" s="1"/>
  <c r="R65" i="17" s="1"/>
  <c r="S32" i="17"/>
  <c r="S42" i="17" s="1"/>
  <c r="S49" i="17" s="1"/>
  <c r="S65" i="17" s="1"/>
  <c r="T32" i="17"/>
  <c r="T42" i="17" s="1"/>
  <c r="T49" i="17" s="1"/>
  <c r="T65" i="17" s="1"/>
  <c r="L7" i="6"/>
  <c r="K7" i="6"/>
  <c r="J7" i="6"/>
  <c r="I7" i="6"/>
  <c r="H7" i="6"/>
  <c r="G7" i="6"/>
  <c r="F7" i="6"/>
  <c r="E7" i="6"/>
  <c r="D7" i="6"/>
  <c r="C7" i="6"/>
  <c r="B7" i="6"/>
  <c r="L19" i="6"/>
  <c r="K19" i="6"/>
  <c r="J19" i="6"/>
  <c r="I19" i="6"/>
  <c r="H19" i="6"/>
  <c r="G19" i="6"/>
  <c r="F19" i="6"/>
  <c r="E19" i="6"/>
  <c r="D19" i="6"/>
  <c r="C19" i="6"/>
  <c r="B19" i="6"/>
  <c r="J11" i="6"/>
  <c r="I11" i="6"/>
  <c r="H11" i="6"/>
  <c r="AC4" i="6"/>
  <c r="AD4" i="6"/>
  <c r="AE4" i="6"/>
  <c r="AF4" i="6"/>
  <c r="AG4" i="6"/>
  <c r="AH4" i="6"/>
  <c r="AI4" i="6"/>
  <c r="AJ4" i="6"/>
  <c r="AK4" i="6"/>
  <c r="AL4" i="6"/>
  <c r="AM4" i="6"/>
  <c r="AN4" i="6"/>
  <c r="C11" i="6"/>
  <c r="B11" i="6"/>
  <c r="A19" i="6"/>
  <c r="L12" i="6"/>
  <c r="K12" i="6"/>
  <c r="J12" i="6"/>
  <c r="I12" i="6"/>
  <c r="H12" i="6"/>
  <c r="G12" i="6"/>
  <c r="F12" i="6"/>
  <c r="E12" i="6"/>
  <c r="D12" i="6"/>
  <c r="C12" i="6"/>
  <c r="B12" i="6"/>
  <c r="L19" i="12"/>
  <c r="K19" i="12"/>
  <c r="J19" i="12"/>
  <c r="I19" i="12"/>
  <c r="H19" i="12"/>
  <c r="G19" i="12"/>
  <c r="F19" i="12"/>
  <c r="E19" i="12"/>
  <c r="D19" i="12"/>
  <c r="C19" i="12"/>
  <c r="B19" i="12"/>
  <c r="B6" i="6"/>
  <c r="L18" i="6"/>
  <c r="K18" i="6"/>
  <c r="J18" i="6"/>
  <c r="I18" i="6"/>
  <c r="H18" i="6"/>
  <c r="G18" i="6"/>
  <c r="F18" i="6"/>
  <c r="E18" i="6"/>
  <c r="D18" i="6"/>
  <c r="C18" i="6"/>
  <c r="B18" i="6"/>
  <c r="L17" i="6"/>
  <c r="K17" i="6"/>
  <c r="J17" i="6"/>
  <c r="I17" i="6"/>
  <c r="H17" i="6"/>
  <c r="G17" i="6"/>
  <c r="F17" i="6"/>
  <c r="E17" i="6"/>
  <c r="D17" i="6"/>
  <c r="C17" i="6"/>
  <c r="B17" i="6"/>
  <c r="L16" i="6"/>
  <c r="K16" i="6"/>
  <c r="J16" i="6"/>
  <c r="I16" i="6"/>
  <c r="H16" i="6"/>
  <c r="G16" i="6"/>
  <c r="F16" i="6"/>
  <c r="E16" i="6"/>
  <c r="D16" i="6"/>
  <c r="C16" i="6"/>
  <c r="B16" i="6"/>
  <c r="L15" i="6"/>
  <c r="K15" i="6"/>
  <c r="J15" i="6"/>
  <c r="I15" i="6"/>
  <c r="H15" i="6"/>
  <c r="G15" i="6"/>
  <c r="F15" i="6"/>
  <c r="E15" i="6"/>
  <c r="D15" i="6"/>
  <c r="C15" i="6"/>
  <c r="B15" i="6"/>
  <c r="L10" i="6"/>
  <c r="K10" i="6"/>
  <c r="J10" i="6"/>
  <c r="I10" i="6"/>
  <c r="H10" i="6"/>
  <c r="G10" i="6"/>
  <c r="F10" i="6"/>
  <c r="E10" i="6"/>
  <c r="D10" i="6"/>
  <c r="C10" i="6"/>
  <c r="B10" i="6"/>
  <c r="L9" i="6"/>
  <c r="K9" i="6"/>
  <c r="J9" i="6"/>
  <c r="I9" i="6"/>
  <c r="H9" i="6"/>
  <c r="G9" i="6"/>
  <c r="F9" i="6"/>
  <c r="E9" i="6"/>
  <c r="D9" i="6"/>
  <c r="C9" i="6"/>
  <c r="B9" i="6"/>
  <c r="L8" i="6"/>
  <c r="K8" i="6"/>
  <c r="J8" i="6"/>
  <c r="I8" i="6"/>
  <c r="H8" i="6"/>
  <c r="G8" i="6"/>
  <c r="F8" i="6"/>
  <c r="E8" i="6"/>
  <c r="D8" i="6"/>
  <c r="C8" i="6"/>
  <c r="B8" i="6"/>
  <c r="L6" i="6"/>
  <c r="K6" i="6"/>
  <c r="J6" i="6"/>
  <c r="I6" i="6"/>
  <c r="H6" i="6"/>
  <c r="G6" i="6"/>
  <c r="F6" i="6"/>
  <c r="E6" i="6"/>
  <c r="D6" i="6"/>
  <c r="C6" i="6"/>
  <c r="L5" i="6"/>
  <c r="K5" i="6"/>
  <c r="J5" i="6"/>
  <c r="I5" i="6"/>
  <c r="H5" i="6"/>
  <c r="G5" i="6"/>
  <c r="F5" i="6"/>
  <c r="E5" i="6"/>
  <c r="D5" i="6"/>
  <c r="C5" i="6"/>
  <c r="B5" i="6"/>
  <c r="L4" i="6"/>
  <c r="L2" i="6"/>
  <c r="K2" i="6"/>
  <c r="J2" i="6"/>
  <c r="I2" i="6"/>
  <c r="H2" i="6"/>
  <c r="G2" i="6"/>
  <c r="F2" i="6"/>
  <c r="E2" i="6"/>
  <c r="D2" i="6"/>
  <c r="C2" i="6"/>
  <c r="B2" i="6"/>
  <c r="L3" i="6"/>
  <c r="K3" i="6"/>
  <c r="J3" i="6"/>
  <c r="I3" i="6"/>
  <c r="H3" i="6"/>
  <c r="G3" i="6"/>
  <c r="F3" i="6"/>
  <c r="E3" i="6"/>
  <c r="D3" i="6"/>
  <c r="C3" i="6"/>
  <c r="B3" i="6"/>
  <c r="K4" i="6"/>
  <c r="J4" i="6"/>
  <c r="I4" i="6"/>
  <c r="H4" i="6"/>
  <c r="G4" i="6"/>
  <c r="F4" i="6"/>
  <c r="E4" i="6"/>
  <c r="D4" i="6"/>
  <c r="C4" i="6"/>
  <c r="D1" i="6"/>
  <c r="E1" i="6"/>
  <c r="F1" i="6"/>
  <c r="G1" i="6"/>
  <c r="H1" i="6"/>
  <c r="I1" i="6"/>
  <c r="J1" i="6"/>
  <c r="K1" i="6"/>
  <c r="L1" i="6"/>
  <c r="B4" i="6"/>
  <c r="L11" i="6"/>
  <c r="K11" i="6"/>
  <c r="F11" i="6"/>
  <c r="D11" i="6"/>
  <c r="E11" i="6"/>
  <c r="G11" i="6"/>
  <c r="P35" i="17" l="1"/>
  <c r="M35" i="17"/>
  <c r="N35" i="17"/>
  <c r="Q35" i="17"/>
  <c r="L35" i="17"/>
  <c r="K35" i="17"/>
  <c r="J35" i="17"/>
  <c r="O35" i="17"/>
  <c r="H39" i="17"/>
  <c r="H46" i="17" s="1"/>
  <c r="T35" i="17"/>
  <c r="E43" i="21"/>
  <c r="I56" i="21"/>
  <c r="H56" i="21" s="1"/>
  <c r="G56" i="21" s="1"/>
  <c r="F56" i="21" s="1"/>
  <c r="E56" i="21" s="1"/>
  <c r="D56" i="21" s="1"/>
  <c r="C56" i="21" s="1"/>
  <c r="B56" i="21" s="1"/>
  <c r="K58" i="21"/>
  <c r="M34" i="21"/>
  <c r="M37" i="21" s="1"/>
  <c r="M63" i="21" s="1"/>
  <c r="Q32" i="21"/>
  <c r="J41" i="21"/>
  <c r="N41" i="21"/>
  <c r="I35" i="21"/>
  <c r="P41" i="21"/>
  <c r="Q41" i="21"/>
  <c r="L58" i="21"/>
  <c r="O41" i="21"/>
  <c r="R41" i="21"/>
  <c r="M58" i="21"/>
  <c r="O58" i="21"/>
  <c r="M44" i="21"/>
  <c r="M64" i="21" s="1"/>
  <c r="H30" i="21"/>
  <c r="G30" i="21" s="1"/>
  <c r="F30" i="21" s="1"/>
  <c r="E30" i="21" s="1"/>
  <c r="D30" i="21" s="1"/>
  <c r="C30" i="21" s="1"/>
  <c r="I33" i="21"/>
  <c r="P58" i="21"/>
  <c r="I50" i="21"/>
  <c r="H50" i="21" s="1"/>
  <c r="G50" i="21" s="1"/>
  <c r="F50" i="21" s="1"/>
  <c r="E50" i="21" s="1"/>
  <c r="D50" i="21" s="1"/>
  <c r="C50" i="21" s="1"/>
  <c r="B50" i="21" s="1"/>
  <c r="I55" i="21"/>
  <c r="H55" i="21" s="1"/>
  <c r="G55" i="21" s="1"/>
  <c r="F55" i="21" s="1"/>
  <c r="E55" i="21" s="1"/>
  <c r="D55" i="21" s="1"/>
  <c r="C55" i="21" s="1"/>
  <c r="B55" i="21" s="1"/>
  <c r="Q58" i="21"/>
  <c r="R34" i="21"/>
  <c r="R37" i="21" s="1"/>
  <c r="R63" i="21" s="1"/>
  <c r="T34" i="21"/>
  <c r="I51" i="21"/>
  <c r="H51" i="21" s="1"/>
  <c r="G51" i="21" s="1"/>
  <c r="F51" i="21" s="1"/>
  <c r="E51" i="21" s="1"/>
  <c r="D51" i="21" s="1"/>
  <c r="C51" i="21" s="1"/>
  <c r="B51" i="21" s="1"/>
  <c r="S34" i="21"/>
  <c r="S37" i="21" s="1"/>
  <c r="S63" i="21" s="1"/>
  <c r="R32" i="21"/>
  <c r="S32" i="21"/>
  <c r="I42" i="21"/>
  <c r="H35" i="21"/>
  <c r="J34" i="21"/>
  <c r="J37" i="21" s="1"/>
  <c r="J63" i="21" s="1"/>
  <c r="S44" i="21"/>
  <c r="S64" i="21" s="1"/>
  <c r="Q52" i="21"/>
  <c r="K52" i="21"/>
  <c r="L42" i="21"/>
  <c r="L44" i="21" s="1"/>
  <c r="L64" i="21" s="1"/>
  <c r="I57" i="21"/>
  <c r="H57" i="21" s="1"/>
  <c r="G57" i="21" s="1"/>
  <c r="F57" i="21" s="1"/>
  <c r="E57" i="21" s="1"/>
  <c r="D57" i="21" s="1"/>
  <c r="C57" i="21" s="1"/>
  <c r="B57" i="21" s="1"/>
  <c r="N52" i="21"/>
  <c r="R44" i="21"/>
  <c r="R64" i="21" s="1"/>
  <c r="K34" i="21"/>
  <c r="K37" i="21" s="1"/>
  <c r="K63" i="21" s="1"/>
  <c r="R52" i="21"/>
  <c r="I54" i="21"/>
  <c r="T58" i="21"/>
  <c r="L34" i="21"/>
  <c r="L37" i="21" s="1"/>
  <c r="L63" i="21" s="1"/>
  <c r="S52" i="21"/>
  <c r="S59" i="21" s="1"/>
  <c r="I48" i="21"/>
  <c r="M52" i="21"/>
  <c r="M59" i="21" s="1"/>
  <c r="M41" i="21"/>
  <c r="T52" i="21"/>
  <c r="N58" i="21"/>
  <c r="H33" i="21"/>
  <c r="O52" i="21"/>
  <c r="J32" i="21"/>
  <c r="L52" i="21"/>
  <c r="N44" i="21"/>
  <c r="N64" i="21" s="1"/>
  <c r="J58" i="21"/>
  <c r="P52" i="21"/>
  <c r="K32" i="21"/>
  <c r="K44" i="21"/>
  <c r="K64" i="21" s="1"/>
  <c r="K41" i="21"/>
  <c r="L32" i="21"/>
  <c r="N34" i="21"/>
  <c r="N37" i="21" s="1"/>
  <c r="N63" i="21" s="1"/>
  <c r="L41" i="21"/>
  <c r="M32" i="21"/>
  <c r="O34" i="21"/>
  <c r="O37" i="21" s="1"/>
  <c r="O63" i="21" s="1"/>
  <c r="N32" i="21"/>
  <c r="O44" i="21"/>
  <c r="O64" i="21" s="1"/>
  <c r="G43" i="21"/>
  <c r="H43" i="21"/>
  <c r="I43" i="21"/>
  <c r="J43" i="21"/>
  <c r="J44" i="21" s="1"/>
  <c r="J64" i="21" s="1"/>
  <c r="S58" i="21"/>
  <c r="T37" i="21"/>
  <c r="T63" i="21" s="1"/>
  <c r="P34" i="21"/>
  <c r="P37" i="21" s="1"/>
  <c r="P63" i="21" s="1"/>
  <c r="O32" i="21"/>
  <c r="Q34" i="21"/>
  <c r="Q37" i="21" s="1"/>
  <c r="Q63" i="21" s="1"/>
  <c r="F43" i="21"/>
  <c r="P32" i="21"/>
  <c r="P44" i="21"/>
  <c r="P64" i="21" s="1"/>
  <c r="Q44" i="21"/>
  <c r="Q64" i="21" s="1"/>
  <c r="R58" i="21"/>
  <c r="J52" i="21"/>
  <c r="E20" i="20"/>
  <c r="E21" i="20" s="1"/>
  <c r="E22" i="20" s="1"/>
  <c r="E23" i="20" s="1"/>
  <c r="E24" i="20" s="1"/>
  <c r="E25" i="20" s="1"/>
  <c r="J41" i="20"/>
  <c r="C41" i="20" s="1"/>
  <c r="Q32" i="20"/>
  <c r="I50" i="20"/>
  <c r="H50" i="20" s="1"/>
  <c r="G50" i="20" s="1"/>
  <c r="F50" i="20" s="1"/>
  <c r="E50" i="20" s="1"/>
  <c r="D50" i="20" s="1"/>
  <c r="C50" i="20" s="1"/>
  <c r="B50" i="20" s="1"/>
  <c r="N41" i="20"/>
  <c r="D41" i="20" s="1"/>
  <c r="J42" i="20"/>
  <c r="T52" i="20"/>
  <c r="J58" i="20"/>
  <c r="S52" i="20"/>
  <c r="I57" i="20"/>
  <c r="H57" i="20" s="1"/>
  <c r="G57" i="20" s="1"/>
  <c r="F57" i="20" s="1"/>
  <c r="E57" i="20" s="1"/>
  <c r="D57" i="20" s="1"/>
  <c r="C57" i="20" s="1"/>
  <c r="B57" i="20" s="1"/>
  <c r="M34" i="20"/>
  <c r="M37" i="20" s="1"/>
  <c r="M63" i="20" s="1"/>
  <c r="K32" i="20"/>
  <c r="L32" i="20"/>
  <c r="I56" i="20"/>
  <c r="H56" i="20" s="1"/>
  <c r="G56" i="20" s="1"/>
  <c r="F56" i="20" s="1"/>
  <c r="E56" i="20" s="1"/>
  <c r="D56" i="20" s="1"/>
  <c r="C56" i="20" s="1"/>
  <c r="B56" i="20" s="1"/>
  <c r="N58" i="20"/>
  <c r="J32" i="20"/>
  <c r="M32" i="20"/>
  <c r="O58" i="20"/>
  <c r="R44" i="17"/>
  <c r="T37" i="17"/>
  <c r="T40" i="17" s="1"/>
  <c r="T66" i="17" s="1"/>
  <c r="N47" i="17"/>
  <c r="N67" i="17" s="1"/>
  <c r="Q55" i="17"/>
  <c r="J46" i="17"/>
  <c r="J47" i="17" s="1"/>
  <c r="J67" i="17" s="1"/>
  <c r="T55" i="17"/>
  <c r="Q37" i="17"/>
  <c r="Q40" i="17" s="1"/>
  <c r="Q66" i="17" s="1"/>
  <c r="R37" i="17"/>
  <c r="R40" i="17" s="1"/>
  <c r="R66" i="17" s="1"/>
  <c r="I60" i="17"/>
  <c r="H60" i="17" s="1"/>
  <c r="G60" i="17" s="1"/>
  <c r="F60" i="17" s="1"/>
  <c r="E60" i="17" s="1"/>
  <c r="D60" i="17" s="1"/>
  <c r="C60" i="17" s="1"/>
  <c r="B60" i="17" s="1"/>
  <c r="I51" i="17"/>
  <c r="H51" i="17" s="1"/>
  <c r="N13" i="17"/>
  <c r="O13" i="17" s="1"/>
  <c r="P13" i="17" s="1"/>
  <c r="Q13" i="17" s="1"/>
  <c r="R13" i="17" s="1"/>
  <c r="S13" i="17" s="1"/>
  <c r="N23" i="17"/>
  <c r="O23" i="17" s="1"/>
  <c r="P23" i="17" s="1"/>
  <c r="Q23" i="17" s="1"/>
  <c r="R23" i="17" s="1"/>
  <c r="S23" i="17" s="1"/>
  <c r="I42" i="20"/>
  <c r="H35" i="20"/>
  <c r="H42" i="20" s="1"/>
  <c r="P58" i="20"/>
  <c r="T41" i="20"/>
  <c r="J52" i="20"/>
  <c r="Q58" i="20"/>
  <c r="S41" i="20"/>
  <c r="M52" i="20"/>
  <c r="M59" i="20" s="1"/>
  <c r="N52" i="20"/>
  <c r="J34" i="20"/>
  <c r="J37" i="20" s="1"/>
  <c r="J63" i="20" s="1"/>
  <c r="N32" i="20"/>
  <c r="O34" i="20"/>
  <c r="O37" i="20" s="1"/>
  <c r="O63" i="20" s="1"/>
  <c r="O52" i="20"/>
  <c r="I30" i="20"/>
  <c r="H30" i="20" s="1"/>
  <c r="G30" i="20" s="1"/>
  <c r="F30" i="20" s="1"/>
  <c r="E30" i="20" s="1"/>
  <c r="D30" i="20" s="1"/>
  <c r="C30" i="20" s="1"/>
  <c r="B30" i="20" s="1"/>
  <c r="K52" i="20"/>
  <c r="K59" i="20" s="1"/>
  <c r="R41" i="20"/>
  <c r="K34" i="20"/>
  <c r="K37" i="20" s="1"/>
  <c r="K63" i="20" s="1"/>
  <c r="O32" i="20"/>
  <c r="P34" i="20"/>
  <c r="P37" i="20" s="1"/>
  <c r="P63" i="20" s="1"/>
  <c r="P52" i="20"/>
  <c r="P59" i="20" s="1"/>
  <c r="R37" i="20"/>
  <c r="R63" i="20" s="1"/>
  <c r="L52" i="20"/>
  <c r="L59" i="20" s="1"/>
  <c r="S58" i="20"/>
  <c r="R58" i="20"/>
  <c r="L34" i="20"/>
  <c r="L37" i="20" s="1"/>
  <c r="L63" i="20" s="1"/>
  <c r="P32" i="20"/>
  <c r="Q34" i="20"/>
  <c r="Q37" i="20" s="1"/>
  <c r="Q63" i="20" s="1"/>
  <c r="Q52" i="20"/>
  <c r="T58" i="20"/>
  <c r="T59" i="20" s="1"/>
  <c r="L58" i="20"/>
  <c r="N34" i="20"/>
  <c r="N37" i="20" s="1"/>
  <c r="N63" i="20" s="1"/>
  <c r="R52" i="20"/>
  <c r="M58" i="20"/>
  <c r="L44" i="20"/>
  <c r="L64" i="20" s="1"/>
  <c r="M44" i="20"/>
  <c r="M64" i="20" s="1"/>
  <c r="F41" i="20"/>
  <c r="E41" i="20"/>
  <c r="N44" i="20"/>
  <c r="N64" i="20" s="1"/>
  <c r="O44" i="20"/>
  <c r="O64" i="20" s="1"/>
  <c r="H36" i="20"/>
  <c r="I43" i="20"/>
  <c r="S44" i="20"/>
  <c r="S64" i="20" s="1"/>
  <c r="R44" i="20"/>
  <c r="R64" i="20" s="1"/>
  <c r="P44" i="20"/>
  <c r="P64" i="20" s="1"/>
  <c r="Q44" i="20"/>
  <c r="Q64" i="20" s="1"/>
  <c r="P41" i="20"/>
  <c r="G35" i="20"/>
  <c r="K44" i="20"/>
  <c r="K64" i="20" s="1"/>
  <c r="T37" i="20"/>
  <c r="T63" i="20" s="1"/>
  <c r="I48" i="20"/>
  <c r="Q41" i="20"/>
  <c r="J43" i="20"/>
  <c r="G54" i="20"/>
  <c r="I58" i="17"/>
  <c r="H58" i="17" s="1"/>
  <c r="G58" i="17" s="1"/>
  <c r="F58" i="17" s="1"/>
  <c r="E58" i="17" s="1"/>
  <c r="D58" i="17" s="1"/>
  <c r="C58" i="17" s="1"/>
  <c r="B58" i="17" s="1"/>
  <c r="K61" i="17"/>
  <c r="I54" i="17"/>
  <c r="H54" i="17" s="1"/>
  <c r="G54" i="17" s="1"/>
  <c r="F54" i="17" s="1"/>
  <c r="E54" i="17" s="1"/>
  <c r="D54" i="17" s="1"/>
  <c r="C54" i="17" s="1"/>
  <c r="B54" i="17" s="1"/>
  <c r="K55" i="17"/>
  <c r="M37" i="17"/>
  <c r="M40" i="17" s="1"/>
  <c r="M66" i="17" s="1"/>
  <c r="P55" i="17"/>
  <c r="N37" i="17"/>
  <c r="N40" i="17" s="1"/>
  <c r="N66" i="17" s="1"/>
  <c r="N74" i="17"/>
  <c r="O74" i="17" s="1"/>
  <c r="P74" i="17" s="1"/>
  <c r="Q74" i="17" s="1"/>
  <c r="R74" i="17" s="1"/>
  <c r="S74" i="17" s="1"/>
  <c r="T74" i="17" s="1"/>
  <c r="O47" i="17"/>
  <c r="O67" i="17" s="1"/>
  <c r="L37" i="17"/>
  <c r="L40" i="17" s="1"/>
  <c r="L66" i="17" s="1"/>
  <c r="O37" i="17"/>
  <c r="O40" i="17" s="1"/>
  <c r="O66" i="17" s="1"/>
  <c r="N55" i="17"/>
  <c r="L44" i="17"/>
  <c r="T44" i="17"/>
  <c r="S44" i="17"/>
  <c r="L61" i="17"/>
  <c r="O44" i="17"/>
  <c r="M61" i="17"/>
  <c r="T61" i="17"/>
  <c r="R47" i="17"/>
  <c r="R67" i="17" s="1"/>
  <c r="D13" i="17"/>
  <c r="S55" i="17"/>
  <c r="J61" i="17"/>
  <c r="I59" i="17"/>
  <c r="H59" i="17" s="1"/>
  <c r="G59" i="17" s="1"/>
  <c r="F59" i="17" s="1"/>
  <c r="E59" i="17" s="1"/>
  <c r="D59" i="17" s="1"/>
  <c r="C59" i="17" s="1"/>
  <c r="B59" i="17" s="1"/>
  <c r="S37" i="17"/>
  <c r="S40" i="17" s="1"/>
  <c r="S66" i="17" s="1"/>
  <c r="L55" i="17"/>
  <c r="R55" i="17"/>
  <c r="S61" i="17"/>
  <c r="S47" i="17"/>
  <c r="S67" i="17" s="1"/>
  <c r="M55" i="17"/>
  <c r="J55" i="17"/>
  <c r="Q47" i="17"/>
  <c r="Q67" i="17" s="1"/>
  <c r="O61" i="17"/>
  <c r="P47" i="17"/>
  <c r="P67" i="17" s="1"/>
  <c r="K44" i="17"/>
  <c r="K37" i="17"/>
  <c r="K40" i="17" s="1"/>
  <c r="K66" i="17" s="1"/>
  <c r="N61" i="17"/>
  <c r="I38" i="17"/>
  <c r="I57" i="17"/>
  <c r="I53" i="17"/>
  <c r="H53" i="17" s="1"/>
  <c r="G53" i="17" s="1"/>
  <c r="F53" i="17" s="1"/>
  <c r="E53" i="17" s="1"/>
  <c r="D53" i="17" s="1"/>
  <c r="C53" i="17" s="1"/>
  <c r="B53" i="17" s="1"/>
  <c r="P61" i="17"/>
  <c r="N44" i="17"/>
  <c r="J12" i="17"/>
  <c r="J44" i="17"/>
  <c r="J37" i="17"/>
  <c r="J40" i="17" s="1"/>
  <c r="J66" i="17" s="1"/>
  <c r="I33" i="17"/>
  <c r="K47" i="17"/>
  <c r="K67" i="17" s="1"/>
  <c r="O55" i="17"/>
  <c r="Q61" i="17"/>
  <c r="A46" i="17"/>
  <c r="D14" i="17"/>
  <c r="R61" i="17"/>
  <c r="M47" i="17"/>
  <c r="M67" i="17" s="1"/>
  <c r="P37" i="17"/>
  <c r="P40" i="17" s="1"/>
  <c r="P66" i="17" s="1"/>
  <c r="L47" i="17"/>
  <c r="L67" i="17" s="1"/>
  <c r="P44" i="17"/>
  <c r="I52" i="17"/>
  <c r="H52" i="17" s="1"/>
  <c r="G52" i="17" s="1"/>
  <c r="F52" i="17" s="1"/>
  <c r="E52" i="17" s="1"/>
  <c r="D52" i="17" s="1"/>
  <c r="C52" i="17" s="1"/>
  <c r="B52" i="17" s="1"/>
  <c r="B15" i="17" s="1"/>
  <c r="F19" i="17" s="1"/>
  <c r="Q44" i="17"/>
  <c r="M44" i="17"/>
  <c r="E32" i="18"/>
  <c r="E33" i="18" s="1"/>
  <c r="E34" i="18" s="1"/>
  <c r="E42" i="18" s="1"/>
  <c r="F23" i="17"/>
  <c r="J22" i="17" s="1"/>
  <c r="J23" i="17" s="1"/>
  <c r="H99" i="17" s="1"/>
  <c r="G39" i="17" l="1"/>
  <c r="F39" i="17" s="1"/>
  <c r="L59" i="21"/>
  <c r="O59" i="21"/>
  <c r="K59" i="21"/>
  <c r="I52" i="21"/>
  <c r="P59" i="21"/>
  <c r="I58" i="21"/>
  <c r="R59" i="21"/>
  <c r="H48" i="21"/>
  <c r="L60" i="21"/>
  <c r="L65" i="21" s="1"/>
  <c r="L66" i="21" s="1"/>
  <c r="I41" i="21"/>
  <c r="I40" i="21" s="1"/>
  <c r="I44" i="21" s="1"/>
  <c r="I64" i="21" s="1"/>
  <c r="Q59" i="21"/>
  <c r="Q60" i="21" s="1"/>
  <c r="Q65" i="21" s="1"/>
  <c r="Q66" i="21" s="1"/>
  <c r="P60" i="21"/>
  <c r="P65" i="21" s="1"/>
  <c r="P66" i="21" s="1"/>
  <c r="B32" i="21"/>
  <c r="I32" i="21"/>
  <c r="I31" i="21" s="1"/>
  <c r="I37" i="21" s="1"/>
  <c r="I63" i="21" s="1"/>
  <c r="G32" i="21"/>
  <c r="G31" i="21" s="1"/>
  <c r="G37" i="21" s="1"/>
  <c r="G63" i="21" s="1"/>
  <c r="F32" i="21"/>
  <c r="E32" i="21"/>
  <c r="C32" i="21"/>
  <c r="D32" i="21"/>
  <c r="H32" i="21"/>
  <c r="H31" i="21" s="1"/>
  <c r="H37" i="21" s="1"/>
  <c r="H63" i="21" s="1"/>
  <c r="N59" i="21"/>
  <c r="M60" i="21" s="1"/>
  <c r="M65" i="21" s="1"/>
  <c r="M66" i="21" s="1"/>
  <c r="H54" i="21"/>
  <c r="H58" i="21" s="1"/>
  <c r="I59" i="21"/>
  <c r="H42" i="21"/>
  <c r="G35" i="21"/>
  <c r="F41" i="21"/>
  <c r="T59" i="21"/>
  <c r="S60" i="21" s="1"/>
  <c r="S65" i="21" s="1"/>
  <c r="S66" i="21" s="1"/>
  <c r="G48" i="21"/>
  <c r="H52" i="21"/>
  <c r="O60" i="21"/>
  <c r="O65" i="21" s="1"/>
  <c r="O66" i="21" s="1"/>
  <c r="B41" i="21"/>
  <c r="R60" i="21"/>
  <c r="R65" i="21" s="1"/>
  <c r="R66" i="21" s="1"/>
  <c r="J59" i="21"/>
  <c r="G41" i="21"/>
  <c r="G40" i="21" s="1"/>
  <c r="H41" i="21"/>
  <c r="H40" i="21" s="1"/>
  <c r="G33" i="21"/>
  <c r="K60" i="21"/>
  <c r="K65" i="21" s="1"/>
  <c r="K66" i="21" s="1"/>
  <c r="D41" i="21"/>
  <c r="C41" i="21"/>
  <c r="E41" i="21"/>
  <c r="H41" i="20"/>
  <c r="R59" i="20"/>
  <c r="O59" i="20"/>
  <c r="S59" i="20"/>
  <c r="G41" i="20"/>
  <c r="G40" i="20" s="1"/>
  <c r="J44" i="20"/>
  <c r="J64" i="20" s="1"/>
  <c r="B41" i="20"/>
  <c r="Q59" i="20"/>
  <c r="Q60" i="20" s="1"/>
  <c r="Q65" i="20" s="1"/>
  <c r="Q66" i="20" s="1"/>
  <c r="Q62" i="17"/>
  <c r="I41" i="20"/>
  <c r="I40" i="20" s="1"/>
  <c r="I44" i="20" s="1"/>
  <c r="I64" i="20" s="1"/>
  <c r="I58" i="20"/>
  <c r="S60" i="20"/>
  <c r="S65" i="20" s="1"/>
  <c r="H32" i="20"/>
  <c r="H31" i="20" s="1"/>
  <c r="H37" i="20" s="1"/>
  <c r="H63" i="20" s="1"/>
  <c r="J59" i="20"/>
  <c r="J60" i="20" s="1"/>
  <c r="J65" i="20" s="1"/>
  <c r="J66" i="20" s="1"/>
  <c r="N59" i="20"/>
  <c r="N60" i="20" s="1"/>
  <c r="N65" i="20" s="1"/>
  <c r="N66" i="20" s="1"/>
  <c r="N62" i="17"/>
  <c r="T62" i="17"/>
  <c r="M62" i="17"/>
  <c r="M63" i="17" s="1"/>
  <c r="M68" i="17" s="1"/>
  <c r="M69" i="17" s="1"/>
  <c r="K62" i="17"/>
  <c r="S62" i="17"/>
  <c r="S63" i="17" s="1"/>
  <c r="S68" i="17" s="1"/>
  <c r="S69" i="17" s="1"/>
  <c r="T13" i="17"/>
  <c r="U12" i="17" s="1"/>
  <c r="T15" i="17"/>
  <c r="L5" i="20"/>
  <c r="E2" i="20"/>
  <c r="E2" i="21" s="1"/>
  <c r="T23" i="17"/>
  <c r="W22" i="17" s="1"/>
  <c r="T25" i="17"/>
  <c r="U24" i="17" s="1"/>
  <c r="T11" i="17"/>
  <c r="T19" i="17"/>
  <c r="U18" i="17" s="1"/>
  <c r="T21" i="17"/>
  <c r="U20" i="17" s="1"/>
  <c r="G33" i="20"/>
  <c r="C32" i="20"/>
  <c r="B32" i="20"/>
  <c r="I32" i="20"/>
  <c r="I31" i="20" s="1"/>
  <c r="I37" i="20" s="1"/>
  <c r="I63" i="20" s="1"/>
  <c r="F32" i="20"/>
  <c r="F31" i="20" s="1"/>
  <c r="E32" i="20"/>
  <c r="H58" i="20"/>
  <c r="D32" i="20"/>
  <c r="I33" i="20"/>
  <c r="G32" i="20"/>
  <c r="G31" i="20" s="1"/>
  <c r="H40" i="20"/>
  <c r="H33" i="20"/>
  <c r="S66" i="20"/>
  <c r="O60" i="20"/>
  <c r="O65" i="20" s="1"/>
  <c r="O66" i="20" s="1"/>
  <c r="L60" i="20"/>
  <c r="L65" i="20" s="1"/>
  <c r="L66" i="20" s="1"/>
  <c r="P62" i="17"/>
  <c r="E40" i="20"/>
  <c r="F33" i="20"/>
  <c r="F40" i="20"/>
  <c r="I52" i="20"/>
  <c r="H48" i="20"/>
  <c r="F35" i="20"/>
  <c r="G42" i="20"/>
  <c r="K60" i="20"/>
  <c r="K65" i="20" s="1"/>
  <c r="K66" i="20" s="1"/>
  <c r="G36" i="20"/>
  <c r="H43" i="20"/>
  <c r="G58" i="20"/>
  <c r="F54" i="20"/>
  <c r="T17" i="17"/>
  <c r="E2" i="17"/>
  <c r="J74" i="17"/>
  <c r="L62" i="17"/>
  <c r="R62" i="17"/>
  <c r="O62" i="17"/>
  <c r="I55" i="17"/>
  <c r="F35" i="17"/>
  <c r="J62" i="17"/>
  <c r="C44" i="17"/>
  <c r="E44" i="17"/>
  <c r="D44" i="17"/>
  <c r="G44" i="17"/>
  <c r="B44" i="17"/>
  <c r="F44" i="17"/>
  <c r="I44" i="17"/>
  <c r="I43" i="17" s="1"/>
  <c r="H44" i="17"/>
  <c r="G51" i="17"/>
  <c r="H55" i="17"/>
  <c r="H35" i="17"/>
  <c r="H38" i="17"/>
  <c r="I45" i="17"/>
  <c r="I36" i="17"/>
  <c r="H33" i="17"/>
  <c r="C35" i="17"/>
  <c r="G35" i="17"/>
  <c r="E35" i="17"/>
  <c r="I35" i="17"/>
  <c r="I34" i="17" s="1"/>
  <c r="I40" i="17" s="1"/>
  <c r="I66" i="17" s="1"/>
  <c r="B35" i="17"/>
  <c r="D35" i="17"/>
  <c r="H57" i="17"/>
  <c r="I61" i="17"/>
  <c r="K63" i="17" l="1"/>
  <c r="K68" i="17" s="1"/>
  <c r="K69" i="17" s="1"/>
  <c r="R63" i="17"/>
  <c r="R68" i="17" s="1"/>
  <c r="R69" i="17" s="1"/>
  <c r="P63" i="17"/>
  <c r="P68" i="17" s="1"/>
  <c r="P69" i="17" s="1"/>
  <c r="G46" i="17"/>
  <c r="J60" i="21"/>
  <c r="J65" i="21" s="1"/>
  <c r="J66" i="21" s="1"/>
  <c r="H44" i="21"/>
  <c r="H64" i="21" s="1"/>
  <c r="G54" i="21"/>
  <c r="H59" i="21"/>
  <c r="H60" i="21" s="1"/>
  <c r="H65" i="21" s="1"/>
  <c r="N60" i="21"/>
  <c r="N65" i="21" s="1"/>
  <c r="N66" i="21" s="1"/>
  <c r="I60" i="21"/>
  <c r="I65" i="21" s="1"/>
  <c r="G42" i="21"/>
  <c r="G44" i="21" s="1"/>
  <c r="G64" i="21" s="1"/>
  <c r="G66" i="21" s="1"/>
  <c r="F35" i="21"/>
  <c r="G58" i="21"/>
  <c r="F54" i="21"/>
  <c r="G52" i="21"/>
  <c r="G59" i="21" s="1"/>
  <c r="G60" i="21" s="1"/>
  <c r="G65" i="21" s="1"/>
  <c r="F48" i="21"/>
  <c r="F31" i="21"/>
  <c r="F37" i="21" s="1"/>
  <c r="F63" i="21" s="1"/>
  <c r="F33" i="21"/>
  <c r="H66" i="21"/>
  <c r="I66" i="21"/>
  <c r="F40" i="21"/>
  <c r="P60" i="20"/>
  <c r="P65" i="20" s="1"/>
  <c r="P66" i="20" s="1"/>
  <c r="R60" i="20"/>
  <c r="R65" i="20" s="1"/>
  <c r="R66" i="20" s="1"/>
  <c r="I59" i="20"/>
  <c r="I60" i="20" s="1"/>
  <c r="I65" i="20" s="1"/>
  <c r="O63" i="17"/>
  <c r="O68" i="17" s="1"/>
  <c r="O69" i="17" s="1"/>
  <c r="H44" i="20"/>
  <c r="H64" i="20" s="1"/>
  <c r="G37" i="20"/>
  <c r="G63" i="20" s="1"/>
  <c r="M60" i="20"/>
  <c r="M65" i="20" s="1"/>
  <c r="M66" i="20" s="1"/>
  <c r="J63" i="17"/>
  <c r="J68" i="17" s="1"/>
  <c r="J69" i="17" s="1"/>
  <c r="W12" i="17"/>
  <c r="U14" i="17"/>
  <c r="W15" i="17" s="1"/>
  <c r="K100" i="17"/>
  <c r="U10" i="17"/>
  <c r="W11" i="17" s="1"/>
  <c r="W13" i="17"/>
  <c r="W21" i="17"/>
  <c r="W19" i="17"/>
  <c r="W25" i="17"/>
  <c r="W18" i="17"/>
  <c r="U22" i="17"/>
  <c r="W24" i="17"/>
  <c r="W10" i="17"/>
  <c r="W20" i="17"/>
  <c r="I66" i="20"/>
  <c r="L63" i="17"/>
  <c r="L68" i="17" s="1"/>
  <c r="L69" i="17" s="1"/>
  <c r="Q63" i="17"/>
  <c r="Q68" i="17" s="1"/>
  <c r="Q69" i="17" s="1"/>
  <c r="H52" i="20"/>
  <c r="H59" i="20" s="1"/>
  <c r="H60" i="20" s="1"/>
  <c r="H65" i="20" s="1"/>
  <c r="H66" i="20" s="1"/>
  <c r="G48" i="20"/>
  <c r="F36" i="20"/>
  <c r="F37" i="20" s="1"/>
  <c r="F63" i="20" s="1"/>
  <c r="G43" i="20"/>
  <c r="G44" i="20" s="1"/>
  <c r="G64" i="20" s="1"/>
  <c r="F42" i="20"/>
  <c r="E35" i="20"/>
  <c r="F58" i="20"/>
  <c r="E54" i="20"/>
  <c r="E31" i="20"/>
  <c r="C31" i="20"/>
  <c r="E33" i="20"/>
  <c r="W16" i="17"/>
  <c r="U16" i="17"/>
  <c r="N63" i="17"/>
  <c r="N68" i="17" s="1"/>
  <c r="N69" i="17" s="1"/>
  <c r="I62" i="17"/>
  <c r="I63" i="17" s="1"/>
  <c r="I68" i="17" s="1"/>
  <c r="H43" i="17"/>
  <c r="I47" i="17"/>
  <c r="I67" i="17" s="1"/>
  <c r="F51" i="17"/>
  <c r="G55" i="17"/>
  <c r="H34" i="17"/>
  <c r="H40" i="17" s="1"/>
  <c r="H66" i="17" s="1"/>
  <c r="G33" i="17"/>
  <c r="G43" i="17" s="1"/>
  <c r="H36" i="17"/>
  <c r="G38" i="17"/>
  <c r="H45" i="17"/>
  <c r="E39" i="17"/>
  <c r="F46" i="17"/>
  <c r="G57" i="17"/>
  <c r="H61" i="17"/>
  <c r="H62" i="17" s="1"/>
  <c r="W14" i="17"/>
  <c r="F42" i="21" l="1"/>
  <c r="F44" i="21" s="1"/>
  <c r="F64" i="21" s="1"/>
  <c r="E35" i="21"/>
  <c r="E31" i="21"/>
  <c r="E33" i="21"/>
  <c r="F52" i="21"/>
  <c r="E48" i="21"/>
  <c r="F58" i="21"/>
  <c r="E54" i="21"/>
  <c r="E40" i="21"/>
  <c r="H47" i="17"/>
  <c r="H67" i="17" s="1"/>
  <c r="I69" i="17"/>
  <c r="W17" i="17"/>
  <c r="W23" i="17"/>
  <c r="E58" i="20"/>
  <c r="D54" i="20"/>
  <c r="D33" i="20"/>
  <c r="D31" i="20"/>
  <c r="D40" i="20"/>
  <c r="D35" i="20"/>
  <c r="E42" i="20"/>
  <c r="F43" i="20"/>
  <c r="F44" i="20" s="1"/>
  <c r="F64" i="20" s="1"/>
  <c r="E36" i="20"/>
  <c r="G52" i="20"/>
  <c r="G59" i="20" s="1"/>
  <c r="G60" i="20" s="1"/>
  <c r="G65" i="20" s="1"/>
  <c r="G66" i="20" s="1"/>
  <c r="F48" i="20"/>
  <c r="H63" i="17"/>
  <c r="H68" i="17" s="1"/>
  <c r="G36" i="17"/>
  <c r="F33" i="17"/>
  <c r="G34" i="17"/>
  <c r="G40" i="17" s="1"/>
  <c r="G66" i="17" s="1"/>
  <c r="F55" i="17"/>
  <c r="E51" i="17"/>
  <c r="D39" i="17"/>
  <c r="E46" i="17"/>
  <c r="G45" i="17"/>
  <c r="G47" i="17" s="1"/>
  <c r="G67" i="17" s="1"/>
  <c r="F38" i="17"/>
  <c r="F57" i="17"/>
  <c r="G61" i="17"/>
  <c r="G62" i="17" s="1"/>
  <c r="G63" i="17" s="1"/>
  <c r="G68" i="17" s="1"/>
  <c r="E37" i="21" l="1"/>
  <c r="E63" i="21" s="1"/>
  <c r="E42" i="21"/>
  <c r="E44" i="21" s="1"/>
  <c r="E64" i="21" s="1"/>
  <c r="D35" i="21"/>
  <c r="E52" i="21"/>
  <c r="D48" i="21"/>
  <c r="F59" i="21"/>
  <c r="F60" i="21" s="1"/>
  <c r="F65" i="21" s="1"/>
  <c r="F66" i="21" s="1"/>
  <c r="B30" i="21"/>
  <c r="D33" i="21"/>
  <c r="D31" i="21"/>
  <c r="D37" i="21" s="1"/>
  <c r="D63" i="21" s="1"/>
  <c r="D40" i="21"/>
  <c r="E58" i="21"/>
  <c r="D54" i="21"/>
  <c r="H69" i="17"/>
  <c r="E43" i="20"/>
  <c r="D36" i="20"/>
  <c r="C35" i="20"/>
  <c r="D42" i="20"/>
  <c r="E37" i="20"/>
  <c r="E63" i="20" s="1"/>
  <c r="D37" i="20"/>
  <c r="D63" i="20" s="1"/>
  <c r="D58" i="20"/>
  <c r="C54" i="20"/>
  <c r="F52" i="20"/>
  <c r="F59" i="20" s="1"/>
  <c r="F60" i="20" s="1"/>
  <c r="F65" i="20" s="1"/>
  <c r="F66" i="20" s="1"/>
  <c r="E48" i="20"/>
  <c r="E44" i="20"/>
  <c r="E64" i="20" s="1"/>
  <c r="C33" i="20"/>
  <c r="C40" i="20"/>
  <c r="F45" i="17"/>
  <c r="E38" i="17"/>
  <c r="E55" i="17"/>
  <c r="D51" i="17"/>
  <c r="F61" i="17"/>
  <c r="F62" i="17" s="1"/>
  <c r="F63" i="17" s="1"/>
  <c r="F68" i="17" s="1"/>
  <c r="E57" i="17"/>
  <c r="C39" i="17"/>
  <c r="D46" i="17"/>
  <c r="G69" i="17"/>
  <c r="F36" i="17"/>
  <c r="E33" i="17"/>
  <c r="F34" i="17"/>
  <c r="F40" i="17" s="1"/>
  <c r="F66" i="17" s="1"/>
  <c r="F43" i="17"/>
  <c r="E59" i="21" l="1"/>
  <c r="D42" i="21"/>
  <c r="D44" i="21" s="1"/>
  <c r="D64" i="21" s="1"/>
  <c r="C35" i="21"/>
  <c r="C31" i="21"/>
  <c r="C37" i="21" s="1"/>
  <c r="C63" i="21" s="1"/>
  <c r="C33" i="21"/>
  <c r="C40" i="21"/>
  <c r="C48" i="21"/>
  <c r="D52" i="21"/>
  <c r="E60" i="21"/>
  <c r="E65" i="21" s="1"/>
  <c r="E66" i="21" s="1"/>
  <c r="C54" i="21"/>
  <c r="D58" i="21"/>
  <c r="F47" i="17"/>
  <c r="F67" i="17" s="1"/>
  <c r="F69" i="17" s="1"/>
  <c r="B31" i="20"/>
  <c r="B33" i="20"/>
  <c r="B40" i="20"/>
  <c r="C42" i="20"/>
  <c r="B35" i="20"/>
  <c r="B42" i="20" s="1"/>
  <c r="E52" i="20"/>
  <c r="E59" i="20" s="1"/>
  <c r="E60" i="20" s="1"/>
  <c r="E65" i="20" s="1"/>
  <c r="D48" i="20"/>
  <c r="C58" i="20"/>
  <c r="B54" i="20"/>
  <c r="B58" i="20" s="1"/>
  <c r="E66" i="20"/>
  <c r="D43" i="20"/>
  <c r="D44" i="20" s="1"/>
  <c r="D64" i="20" s="1"/>
  <c r="C36" i="20"/>
  <c r="D33" i="17"/>
  <c r="E34" i="17"/>
  <c r="E40" i="17" s="1"/>
  <c r="E66" i="17" s="1"/>
  <c r="E36" i="17"/>
  <c r="E43" i="17"/>
  <c r="D57" i="17"/>
  <c r="E61" i="17"/>
  <c r="E62" i="17" s="1"/>
  <c r="E63" i="17" s="1"/>
  <c r="E68" i="17" s="1"/>
  <c r="C46" i="17"/>
  <c r="B39" i="17"/>
  <c r="D55" i="17"/>
  <c r="C51" i="17"/>
  <c r="D38" i="17"/>
  <c r="E45" i="17"/>
  <c r="C42" i="21" l="1"/>
  <c r="C44" i="21" s="1"/>
  <c r="C64" i="21" s="1"/>
  <c r="B35" i="21"/>
  <c r="B42" i="21" s="1"/>
  <c r="C58" i="21"/>
  <c r="B54" i="21"/>
  <c r="B58" i="21" s="1"/>
  <c r="D59" i="21"/>
  <c r="D60" i="21" s="1"/>
  <c r="D65" i="21" s="1"/>
  <c r="D66" i="21" s="1"/>
  <c r="B48" i="21"/>
  <c r="C52" i="21"/>
  <c r="C59" i="21" s="1"/>
  <c r="C60" i="21" s="1"/>
  <c r="C65" i="21" s="1"/>
  <c r="B31" i="21"/>
  <c r="B37" i="21" s="1"/>
  <c r="B63" i="21" s="1"/>
  <c r="B33" i="21"/>
  <c r="B40" i="21"/>
  <c r="B44" i="21" s="1"/>
  <c r="B64" i="21" s="1"/>
  <c r="C48" i="20"/>
  <c r="D52" i="20"/>
  <c r="D59" i="20" s="1"/>
  <c r="D60" i="20" s="1"/>
  <c r="D65" i="20" s="1"/>
  <c r="D66" i="20" s="1"/>
  <c r="C43" i="20"/>
  <c r="C44" i="20" s="1"/>
  <c r="C64" i="20" s="1"/>
  <c r="B36" i="20"/>
  <c r="B43" i="20" s="1"/>
  <c r="B44" i="20" s="1"/>
  <c r="B64" i="20" s="1"/>
  <c r="C37" i="20"/>
  <c r="C63" i="20" s="1"/>
  <c r="B51" i="17"/>
  <c r="C55" i="17"/>
  <c r="C38" i="17"/>
  <c r="D45" i="17"/>
  <c r="B46" i="17"/>
  <c r="F14" i="17"/>
  <c r="D61" i="17"/>
  <c r="D62" i="17" s="1"/>
  <c r="D63" i="17" s="1"/>
  <c r="D68" i="17" s="1"/>
  <c r="C57" i="17"/>
  <c r="E47" i="17"/>
  <c r="E67" i="17" s="1"/>
  <c r="E69" i="17" s="1"/>
  <c r="D36" i="17"/>
  <c r="C33" i="17"/>
  <c r="D34" i="17"/>
  <c r="D40" i="17" s="1"/>
  <c r="D66" i="17" s="1"/>
  <c r="D43" i="17"/>
  <c r="C66" i="21" l="1"/>
  <c r="B52" i="21"/>
  <c r="B59" i="21" s="1"/>
  <c r="B60" i="21" s="1"/>
  <c r="B65" i="21" s="1"/>
  <c r="B66" i="21" s="1"/>
  <c r="B11" i="21" s="1"/>
  <c r="B14" i="21"/>
  <c r="D47" i="17"/>
  <c r="D67" i="17" s="1"/>
  <c r="D69" i="17" s="1"/>
  <c r="B37" i="20"/>
  <c r="B63" i="20" s="1"/>
  <c r="C52" i="20"/>
  <c r="C59" i="20" s="1"/>
  <c r="C60" i="20" s="1"/>
  <c r="C65" i="20" s="1"/>
  <c r="C66" i="20" s="1"/>
  <c r="B48" i="20"/>
  <c r="C36" i="17"/>
  <c r="C34" i="17"/>
  <c r="C40" i="17" s="1"/>
  <c r="C66" i="17" s="1"/>
  <c r="B33" i="17"/>
  <c r="C43" i="17"/>
  <c r="C61" i="17"/>
  <c r="C62" i="17" s="1"/>
  <c r="C63" i="17" s="1"/>
  <c r="C68" i="17" s="1"/>
  <c r="B57" i="17"/>
  <c r="B61" i="17" s="1"/>
  <c r="B38" i="17"/>
  <c r="C45" i="17"/>
  <c r="B55" i="17"/>
  <c r="B14" i="17"/>
  <c r="F18" i="17" s="1"/>
  <c r="B62" i="17" l="1"/>
  <c r="B13" i="21"/>
  <c r="B17" i="21" s="1"/>
  <c r="B20" i="21" s="1"/>
  <c r="E6" i="21" s="1"/>
  <c r="B63" i="17"/>
  <c r="B68" i="17" s="1"/>
  <c r="B52" i="20"/>
  <c r="B59" i="20" s="1"/>
  <c r="B60" i="20" s="1"/>
  <c r="B65" i="20" s="1"/>
  <c r="B66" i="20" s="1"/>
  <c r="B11" i="20" s="1"/>
  <c r="B13" i="20" s="1"/>
  <c r="B14" i="20"/>
  <c r="B45" i="17"/>
  <c r="F13" i="17"/>
  <c r="B34" i="17"/>
  <c r="B36" i="17"/>
  <c r="B43" i="17"/>
  <c r="B47" i="17" s="1"/>
  <c r="B67" i="17" s="1"/>
  <c r="C47" i="17"/>
  <c r="C67" i="17" s="1"/>
  <c r="C69" i="17" s="1"/>
  <c r="A22" i="21" l="1"/>
  <c r="B23" i="21" s="1"/>
  <c r="B22" i="21"/>
  <c r="B17" i="20"/>
  <c r="B20" i="20" s="1"/>
  <c r="E5" i="20" s="1"/>
  <c r="B40" i="17"/>
  <c r="B66" i="17" s="1"/>
  <c r="B69" i="17" s="1"/>
  <c r="B11" i="17" s="1"/>
  <c r="B13" i="17" s="1"/>
  <c r="B17" i="17" s="1"/>
  <c r="B20" i="17" s="1"/>
  <c r="B22" i="17" s="1"/>
  <c r="F12" i="17"/>
  <c r="A22" i="20" l="1"/>
  <c r="B23" i="20" s="1"/>
  <c r="B22" i="20"/>
  <c r="F15" i="17"/>
  <c r="J14" i="17"/>
  <c r="A22" i="17"/>
  <c r="B23" i="17" s="1"/>
  <c r="C74" i="17"/>
  <c r="J16" i="17" l="1"/>
  <c r="J13" i="17"/>
  <c r="H107" i="17"/>
  <c r="H122" i="17"/>
  <c r="H105" i="17"/>
  <c r="H113" i="17"/>
  <c r="H120" i="17"/>
  <c r="H116" i="17"/>
  <c r="H106" i="17"/>
  <c r="H115" i="17"/>
  <c r="H103" i="17"/>
  <c r="H109" i="17"/>
  <c r="H117" i="17"/>
  <c r="H118" i="17"/>
  <c r="H110" i="17"/>
  <c r="H119" i="17"/>
  <c r="H104" i="17"/>
  <c r="H101" i="17"/>
  <c r="H102" i="17"/>
  <c r="H121" i="17"/>
  <c r="H100" i="17"/>
  <c r="H108" i="17"/>
  <c r="H111" i="17"/>
  <c r="H114" i="17"/>
  <c r="H112" i="17"/>
  <c r="F17" i="17"/>
  <c r="F21" i="17" s="1"/>
  <c r="F24" i="17" s="1"/>
  <c r="D114" i="17"/>
  <c r="D116" i="17"/>
  <c r="D109" i="17"/>
  <c r="D100" i="17"/>
  <c r="D110" i="17"/>
  <c r="D115" i="17"/>
  <c r="D112" i="17"/>
  <c r="D107" i="17"/>
  <c r="D106" i="17"/>
  <c r="D104" i="17"/>
  <c r="D103" i="17"/>
  <c r="D102" i="17"/>
  <c r="D117" i="17"/>
  <c r="D101" i="17"/>
  <c r="D111" i="17"/>
  <c r="D108" i="17"/>
  <c r="D105" i="17"/>
  <c r="D113" i="17"/>
  <c r="D99" i="17" l="1"/>
  <c r="F26" i="17"/>
  <c r="D26" i="17"/>
  <c r="F27" i="17" s="1"/>
  <c r="J25" i="17"/>
  <c r="H25" i="17"/>
  <c r="J26"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Brendan Burke</author>
  </authors>
  <commentList>
    <comment ref="A5" authorId="0" shapeId="0" xr:uid="{9395E525-4ACD-4266-A3D3-2C6E577A2CE6}">
      <text>
        <r>
          <rPr>
            <b/>
            <sz val="9"/>
            <color indexed="81"/>
            <rFont val="Tahoma"/>
            <family val="2"/>
          </rPr>
          <t>See cell A40</t>
        </r>
      </text>
    </comment>
    <comment ref="A33" authorId="0" shapeId="0" xr:uid="{99BA7465-6DBA-49E5-A35D-3150317E3F4B}">
      <text>
        <r>
          <rPr>
            <b/>
            <sz val="9"/>
            <color indexed="81"/>
            <rFont val="Tahoma"/>
            <family val="2"/>
          </rPr>
          <t>For our moderate example we assume a growth rate of 11% for the next four years and 6% for the next three after because we believe that the semi-conductor industry has potential to be very lucrative in the next following years due to increased demand for AI. These semi-conductor chips are nececary for AI. We assume a constant growth rate of 2% in OCT 31' and beyond because it 2% is a common benchmark used for businesses once they reach steady growth.</t>
        </r>
      </text>
    </comment>
    <comment ref="A35" authorId="0" shapeId="0" xr:uid="{6E00828C-C631-4F90-B2DC-16E5A191A6EB}">
      <text>
        <r>
          <rPr>
            <b/>
            <sz val="9"/>
            <color indexed="81"/>
            <rFont val="Tahoma"/>
            <family val="2"/>
          </rPr>
          <t>Since EBIT margin has been very similar in historic years, we decided to do an average of the last 5
 years and keep the EBIT margin constant</t>
        </r>
      </text>
    </comment>
    <comment ref="A37" authorId="0" shapeId="0" xr:uid="{A1DA2E08-356E-4669-8008-B7BE448E2191}">
      <text>
        <r>
          <rPr>
            <sz val="9"/>
            <color indexed="81"/>
            <rFont val="Tahoma"/>
            <family val="2"/>
          </rPr>
          <t xml:space="preserve">ADI pays very little income taxes in comparison to its sales. After reading through financial statements, we determined that they adjust their effective tax rate based on global tax laws and use intercompany arrangements to optimize taxes. This includes taking advantage of lower tax jurisdictions and transfer pricing strategies to reduce taxable income in higher-tax regions. They also defer a lot of taxes which may limit the immediate liability for taxes but, they will have to eventually pay these taxes. Therefore, we decided to gradually increase the tax rate. We will assume a 10% tax rate as a steady rate.
</t>
        </r>
      </text>
    </comment>
    <comment ref="A38" authorId="0" shapeId="0" xr:uid="{FEC55B73-E373-4774-9E4B-B432CC2A3A2D}">
      <text>
        <r>
          <rPr>
            <b/>
            <sz val="9"/>
            <color indexed="81"/>
            <rFont val="Tahoma"/>
            <family val="2"/>
          </rPr>
          <t>Depreciation is calculated by taking the average of the past three years and mulitplying it by 1.2 to assume steady depreciation increase. We made sure that it stayed around 2% of sales like previous years.</t>
        </r>
      </text>
    </comment>
    <comment ref="A39" authorId="0" shapeId="0" xr:uid="{FB61DCDC-54CF-4069-8604-8574298AD15A}">
      <text>
        <r>
          <rPr>
            <b/>
            <sz val="9"/>
            <color indexed="81"/>
            <rFont val="Tahoma"/>
            <family val="2"/>
          </rPr>
          <t>We estimate amortization to grow at a constant rate of a 5% increase year over year because ADI has a fairly aggressive approach to M&amp;A</t>
        </r>
      </text>
    </comment>
    <comment ref="A43" authorId="0" shapeId="0" xr:uid="{C8C6C93A-5B2E-4996-9C0F-B1DD4A91DE05}">
      <text>
        <r>
          <rPr>
            <b/>
            <sz val="9"/>
            <color indexed="81"/>
            <rFont val="Tahoma"/>
            <family val="2"/>
          </rPr>
          <t>PP&amp;E is estimated at 24.16% of sales. We use this number because it is the average PP&amp;E/Sales for the last six years</t>
        </r>
      </text>
    </comment>
    <comment ref="A49" authorId="0" shapeId="0" xr:uid="{052906A1-BEDB-4283-BE58-51BA0CE4F94C}">
      <text>
        <r>
          <rPr>
            <b/>
            <sz val="9"/>
            <color indexed="81"/>
            <rFont val="Tahoma"/>
            <family val="2"/>
          </rPr>
          <t>Current assets and current non interest bearing liabilities used in operations are estimated to grow at 10% of the last three years average to show a steady increase in both accounts.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Brendan Burke</author>
  </authors>
  <commentList>
    <comment ref="A5" authorId="0" shapeId="0" xr:uid="{49127E20-886B-413D-8B9A-7F5B2F5465BD}">
      <text>
        <r>
          <rPr>
            <b/>
            <sz val="9"/>
            <color indexed="81"/>
            <rFont val="Tahoma"/>
            <family val="2"/>
          </rPr>
          <t>See cell A40</t>
        </r>
      </text>
    </comment>
    <comment ref="A30" authorId="0" shapeId="0" xr:uid="{1A16E35A-92B6-486B-B8A2-23671FC2061F}">
      <text>
        <r>
          <rPr>
            <b/>
            <sz val="9"/>
            <color indexed="81"/>
            <rFont val="Tahoma"/>
            <family val="2"/>
          </rPr>
          <t xml:space="preserve">For our Bull example we assume a growth rate of 15% for 5 years followed by 9% then a constant growth rate of 3.5%. This is our aggressive approach, that is why our rates are high
</t>
        </r>
      </text>
    </comment>
    <comment ref="A32" authorId="0" shapeId="0" xr:uid="{1B7279B1-468B-4403-9EC8-916970F43570}">
      <text>
        <r>
          <rPr>
            <b/>
            <sz val="9"/>
            <color indexed="81"/>
            <rFont val="Tahoma"/>
            <family val="2"/>
          </rPr>
          <t>Since EBIT margin has been very similar in historic years, we decided to do an average of the last 5
 years plus 2.5% to show an aggressive assumption.</t>
        </r>
      </text>
    </comment>
    <comment ref="A34" authorId="0" shapeId="0" xr:uid="{FE174CD4-B931-4F94-B53E-4489CF65A66A}">
      <text>
        <r>
          <rPr>
            <sz val="9"/>
            <color indexed="81"/>
            <rFont val="Tahoma"/>
            <family val="2"/>
          </rPr>
          <t xml:space="preserve">ADI pays very little income taxes in comparison to its sales. After reading through financial statements, we determined that they adjust their effective tax rate based on global tax laws and use intercompany arrangements to optimize taxes. This includes taking advantage of lower tax jurisdictions and transfer pricing strategies to reduce taxable income in higher-tax regions. They also defer a lot of taxes which may limit the immediate liability for taxes but, they will have to eventually pay these taxes. Therefore, we decided to gradually increase the tax rate. We will assume a 10% tax rate as a steady rate.
</t>
        </r>
      </text>
    </comment>
    <comment ref="A35" authorId="0" shapeId="0" xr:uid="{D4983E41-64A6-49F5-834A-27E315D4CEC8}">
      <text>
        <r>
          <rPr>
            <b/>
            <sz val="9"/>
            <color indexed="81"/>
            <rFont val="Tahoma"/>
            <family val="2"/>
          </rPr>
          <t>Depreciation is calculated by taking the average of the past three years and mulitplying it by 1.2 to assume steady depreciation increase. We made sure that it stayed around 2% of sales like previous years.</t>
        </r>
      </text>
    </comment>
    <comment ref="A36" authorId="0" shapeId="0" xr:uid="{E64BB980-881C-4C59-920D-CB449DECB34C}">
      <text>
        <r>
          <rPr>
            <b/>
            <sz val="9"/>
            <color indexed="81"/>
            <rFont val="Tahoma"/>
            <family val="2"/>
          </rPr>
          <t>We estimate amortization to grow at a constant rate of a 5% increase year over year because ADI has a fairly aggressive approach to M&amp;A</t>
        </r>
      </text>
    </comment>
    <comment ref="A40" authorId="0" shapeId="0" xr:uid="{466EAD71-1CE6-46C2-A4F2-429F9D13744D}">
      <text>
        <r>
          <rPr>
            <b/>
            <sz val="9"/>
            <color indexed="81"/>
            <rFont val="Tahoma"/>
            <family val="2"/>
          </rPr>
          <t>PP&amp;E is estimated at 24.16% of sales. We use this number because it is the average PP&amp;E/Sales for the last six years</t>
        </r>
      </text>
    </comment>
    <comment ref="A46" authorId="0" shapeId="0" xr:uid="{33CF703A-BEAC-4FB9-A1E3-4F0C70826A98}">
      <text>
        <r>
          <rPr>
            <b/>
            <sz val="9"/>
            <color indexed="81"/>
            <rFont val="Tahoma"/>
            <family val="2"/>
          </rPr>
          <t>Current assets and current non interest bearing liabilities used in operations are estimated to grow at 10% of the last three years average to show a steady increase in both accounts.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Brendan Burke</author>
  </authors>
  <commentList>
    <comment ref="A5" authorId="0" shapeId="0" xr:uid="{59C6CA0B-A98A-498E-ACD0-F7406E1843D1}">
      <text>
        <r>
          <rPr>
            <b/>
            <sz val="9"/>
            <color indexed="81"/>
            <rFont val="Tahoma"/>
            <family val="2"/>
          </rPr>
          <t>See cell A40</t>
        </r>
      </text>
    </comment>
    <comment ref="A30" authorId="0" shapeId="0" xr:uid="{0C2A89E6-9589-4329-AEBF-E2BD843823E5}">
      <text>
        <r>
          <rPr>
            <b/>
            <sz val="9"/>
            <color indexed="81"/>
            <rFont val="Tahoma"/>
            <family val="2"/>
          </rPr>
          <t xml:space="preserve">For our Bear example we assume a growth rate of 9% for 5 years followed by 5% then a constant growth rate of 2.5%. This is our conservative approach, that is why our rates are low
</t>
        </r>
      </text>
    </comment>
    <comment ref="A32" authorId="0" shapeId="0" xr:uid="{F5F034A2-B31E-4FBB-AE17-A72245496EC5}">
      <text>
        <r>
          <rPr>
            <b/>
            <sz val="9"/>
            <color indexed="81"/>
            <rFont val="Tahoma"/>
            <family val="2"/>
          </rPr>
          <t>Since EBIT margin has been very similar in historic years, we decided to do an average of the last 5
 years minus 1.5% to show a conservative assumption.</t>
        </r>
      </text>
    </comment>
    <comment ref="A34" authorId="0" shapeId="0" xr:uid="{8B2678D3-7671-4FC6-BD1C-598915B96150}">
      <text>
        <r>
          <rPr>
            <sz val="9"/>
            <color indexed="81"/>
            <rFont val="Tahoma"/>
            <family val="2"/>
          </rPr>
          <t xml:space="preserve">ADI pays very little income taxes in comparison to its sales. After reading through financial statements, we determined that they adjust their effective tax rate based on global tax laws and use intercompany arrangements to optimize taxes. This includes taking advantage of lower tax jurisdictions and transfer pricing strategies to reduce taxable income in higher-tax regions. They also defer a lot of taxes which may limit the immediate liability for taxes but, they will have to eventually pay these taxes. Therefore, we decided to gradually increase the tax rate. We will assume a 10% tax rate as a steady rate.
</t>
        </r>
      </text>
    </comment>
    <comment ref="A35" authorId="0" shapeId="0" xr:uid="{01308F51-DFBD-4E18-B27C-D3328503D9CB}">
      <text>
        <r>
          <rPr>
            <b/>
            <sz val="9"/>
            <color indexed="81"/>
            <rFont val="Tahoma"/>
            <family val="2"/>
          </rPr>
          <t>Depreciation is calculated by taking the average of the past three years and mulitplying it by 1.2 to assume steady depreciation increase. We made sure that it stayed around 2% of sales like previous years.</t>
        </r>
      </text>
    </comment>
    <comment ref="A36" authorId="0" shapeId="0" xr:uid="{2B5D3578-1761-4718-AE20-B0E167931507}">
      <text>
        <r>
          <rPr>
            <b/>
            <sz val="9"/>
            <color indexed="81"/>
            <rFont val="Tahoma"/>
            <family val="2"/>
          </rPr>
          <t>We estimate amortization to grow at a constant rate of a 5% increase year over year because ADI has a fairly aggressive approach to M&amp;A</t>
        </r>
      </text>
    </comment>
    <comment ref="A40" authorId="0" shapeId="0" xr:uid="{D42B9A91-BA38-4436-899B-7040A1A2279D}">
      <text>
        <r>
          <rPr>
            <b/>
            <sz val="9"/>
            <color indexed="81"/>
            <rFont val="Tahoma"/>
            <family val="2"/>
          </rPr>
          <t>PP&amp;E is estimated at 24.16% of sales. We use this number because it is the average PP&amp;E/Sales for the last six years</t>
        </r>
      </text>
    </comment>
    <comment ref="A46" authorId="0" shapeId="0" xr:uid="{3A9441DB-8C78-49C4-900B-2FF9F8A9F294}">
      <text>
        <r>
          <rPr>
            <b/>
            <sz val="9"/>
            <color indexed="81"/>
            <rFont val="Tahoma"/>
            <family val="2"/>
          </rPr>
          <t>Current assets and current non interest bearing liabilities used in operations are estimated to grow at 10% of the last three years average to show a steady increase in both accounts.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<sst xmlns="http://schemas.openxmlformats.org/spreadsheetml/2006/main" count="898" uniqueCount="486">
  <si>
    <t>Analog Devices, Inc.</t>
  </si>
  <si>
    <t xml:space="preserve">ADI   032654105   2032067   NASDAQ    Common stock    </t>
  </si>
  <si>
    <t>Source: FactSet Fundamentals</t>
  </si>
  <si>
    <t>JUL '24</t>
  </si>
  <si>
    <t>OCT '23</t>
  </si>
  <si>
    <t>OCT '22</t>
  </si>
  <si>
    <t>OCT '21</t>
  </si>
  <si>
    <t>OCT '20</t>
  </si>
  <si>
    <t>OCT '19</t>
  </si>
  <si>
    <t>OCT '18</t>
  </si>
  <si>
    <t>OCT '17</t>
  </si>
  <si>
    <t>OCT '16</t>
  </si>
  <si>
    <t>OCT '15</t>
  </si>
  <si>
    <t>OCT '14</t>
  </si>
  <si>
    <t>OCT '13</t>
  </si>
  <si>
    <t>LTM</t>
  </si>
  <si>
    <t>Restate</t>
  </si>
  <si>
    <t>Sales</t>
  </si>
  <si>
    <t>Growth (%)</t>
  </si>
  <si>
    <t>Cost of Goods Sold (COGS) incl. D&amp;A</t>
  </si>
  <si>
    <t>COGS excluding D&amp;A</t>
  </si>
  <si>
    <t>Depreciation &amp; Amortization Expense</t>
  </si>
  <si>
    <t>Depreciation</t>
  </si>
  <si>
    <t>Amortization of Intangibles</t>
  </si>
  <si>
    <t>Gross Income</t>
  </si>
  <si>
    <t>Margin (%)</t>
  </si>
  <si>
    <t>SG&amp;A Expense</t>
  </si>
  <si>
    <t>Research &amp; Development</t>
  </si>
  <si>
    <t>Other SG&amp;A</t>
  </si>
  <si>
    <t>Other Operating Expense</t>
  </si>
  <si>
    <t>EBIT (Operating Income)</t>
  </si>
  <si>
    <t>Nonoperating Income - Net</t>
  </si>
  <si>
    <t>Nonoperating Interest Income</t>
  </si>
  <si>
    <t>Other Income (Expense)</t>
  </si>
  <si>
    <t>Interest Expense</t>
  </si>
  <si>
    <t>Gross Interest Expense</t>
  </si>
  <si>
    <t>Unusual Expense - Net</t>
  </si>
  <si>
    <t>Exceptional Provisions</t>
  </si>
  <si>
    <t>Restructuring Expense</t>
  </si>
  <si>
    <t>Excpl Chrgs - Others</t>
  </si>
  <si>
    <t>Restructuring of Debt</t>
  </si>
  <si>
    <t>Pretax Income</t>
  </si>
  <si>
    <t>Income Taxes</t>
  </si>
  <si>
    <t>Income Taxes - Current Domestic</t>
  </si>
  <si>
    <t>Income Taxes - Current Foreign</t>
  </si>
  <si>
    <t>Income Taxes - Deferred Domestic</t>
  </si>
  <si>
    <t>Income Taxes - Deferred Foreign</t>
  </si>
  <si>
    <t>Other After Tax Adjustments</t>
  </si>
  <si>
    <t>Consolidated Net Income</t>
  </si>
  <si>
    <t>Net Income</t>
  </si>
  <si>
    <t>Net Income available to Common</t>
  </si>
  <si>
    <t>Per Share</t>
  </si>
  <si>
    <t>EPS (recurring)</t>
  </si>
  <si>
    <t>EPS (basic)</t>
  </si>
  <si>
    <t>Basic Shares Outstanding</t>
  </si>
  <si>
    <t>Total Shares Outstanding</t>
  </si>
  <si>
    <t>EPS (diluted)</t>
  </si>
  <si>
    <t>Diluted Shares Outstanding</t>
  </si>
  <si>
    <t>Earnings Persistence</t>
  </si>
  <si>
    <t>Dividends per Share</t>
  </si>
  <si>
    <t>Payout Ratio</t>
  </si>
  <si>
    <t>EBITDA</t>
  </si>
  <si>
    <t>EBIT</t>
  </si>
  <si>
    <t>All figures in millions of U.S. Dollar except per share items.</t>
  </si>
  <si>
    <t>Analog Devices, Inc. (ADI)</t>
  </si>
  <si>
    <t>$232.05</t>
  </si>
  <si>
    <t>Long Term Debt Maturities</t>
  </si>
  <si>
    <t>Over 5 Years</t>
  </si>
  <si>
    <t>Year 5</t>
  </si>
  <si>
    <t>Year 4</t>
  </si>
  <si>
    <t>Year 3</t>
  </si>
  <si>
    <t>Year 2</t>
  </si>
  <si>
    <t>Year 1</t>
  </si>
  <si>
    <t>Operating Lease Commitments</t>
  </si>
  <si>
    <t>Non-Qualified Option/Warrant Awards</t>
  </si>
  <si>
    <t>Stock Option Comp Exp (Net of Tax)</t>
  </si>
  <si>
    <t>Stock Option Comp</t>
  </si>
  <si>
    <t>Comprehensive Income - Hedging Gain/Loss</t>
  </si>
  <si>
    <t>Comprehensive Income - Pension Liability</t>
  </si>
  <si>
    <t>Comprehensive Income</t>
  </si>
  <si>
    <t>Days of Payables Outstanding</t>
  </si>
  <si>
    <t>Days of Sales Outstanding</t>
  </si>
  <si>
    <t>Days of Inventory on Hand</t>
  </si>
  <si>
    <t>Efficiency</t>
  </si>
  <si>
    <t>Net Debt</t>
  </si>
  <si>
    <t>Total Debt</t>
  </si>
  <si>
    <t>Total Capital</t>
  </si>
  <si>
    <t>Working Capital</t>
  </si>
  <si>
    <t>Supplemental</t>
  </si>
  <si>
    <t>Tangible Book Value per Share</t>
  </si>
  <si>
    <t>Book Value per Share</t>
  </si>
  <si>
    <t>Total Liabilities &amp; Shareholders' Equity/Total Assets</t>
  </si>
  <si>
    <t>Total Liabilities &amp; Shareholders' Equity</t>
  </si>
  <si>
    <t>Total Equity/Total Assets</t>
  </si>
  <si>
    <t>Total Equity</t>
  </si>
  <si>
    <t>Total Shareholders' Equity/Total Assets</t>
  </si>
  <si>
    <t>Total Shareholders' Equity</t>
  </si>
  <si>
    <t>Other Appropriated Reserves</t>
  </si>
  <si>
    <t>Unrealized Gain/Loss Marketable Securities</t>
  </si>
  <si>
    <t>Cumulative Translation Adjustment/Unrealized For. Exch. Gain</t>
  </si>
  <si>
    <t>Retained Earnings</t>
  </si>
  <si>
    <t>Additional Paid-In Capital/Capital Surplus</t>
  </si>
  <si>
    <t>Common Stock Par/Carry Value</t>
  </si>
  <si>
    <t>Common Equity</t>
  </si>
  <si>
    <t>Equity</t>
  </si>
  <si>
    <t>Total Liabilities/Total Assets</t>
  </si>
  <si>
    <t>Total Liabilities</t>
  </si>
  <si>
    <t>Other Liabilities (excl. Deferred Income)</t>
  </si>
  <si>
    <t>Other Liabilities</t>
  </si>
  <si>
    <t>Deferred Tax Liabilities</t>
  </si>
  <si>
    <t>Provision for Risks &amp; Charges</t>
  </si>
  <si>
    <t>Capital and Operating Lease Obligations</t>
  </si>
  <si>
    <t>Long-Term Debt excl Lease Obligations</t>
  </si>
  <si>
    <t>Long-Term Debt</t>
  </si>
  <si>
    <t>Long-Term</t>
  </si>
  <si>
    <t>Total Current Liabilities/Total Assets</t>
  </si>
  <si>
    <t>Total Current Liabilities</t>
  </si>
  <si>
    <t>Miscellaneous Current Liabilities</t>
  </si>
  <si>
    <t>Accrued Payroll</t>
  </si>
  <si>
    <t>Other Current Liabilities</t>
  </si>
  <si>
    <t>Income Tax Payable</t>
  </si>
  <si>
    <t>Accounts Payable</t>
  </si>
  <si>
    <t>ST Debt &amp; Curr. Portion LT Debt</t>
  </si>
  <si>
    <t>Current</t>
  </si>
  <si>
    <t>Liabilities &amp; Shareholders' Equity</t>
  </si>
  <si>
    <t>Total Assets</t>
  </si>
  <si>
    <t>Tangible Other Assets</t>
  </si>
  <si>
    <t>Deferred Charges</t>
  </si>
  <si>
    <t>Other Assets</t>
  </si>
  <si>
    <t>Deferred Tax Assets</t>
  </si>
  <si>
    <t>Other Intangible Assets</t>
  </si>
  <si>
    <t>Goodwill</t>
  </si>
  <si>
    <t>Intangible Assets</t>
  </si>
  <si>
    <t>Other Long-Term Investments</t>
  </si>
  <si>
    <t xml:space="preserve">Total Long-Term Investments </t>
  </si>
  <si>
    <t>Accumulated Depreciation</t>
  </si>
  <si>
    <t>Operating Lease Right-of-Use Assets</t>
  </si>
  <si>
    <t>Other Property, Plant &amp; Equipment</t>
  </si>
  <si>
    <t>Machinery &amp; Equipment</t>
  </si>
  <si>
    <t>Buildings</t>
  </si>
  <si>
    <t>Property, Plant &amp; Equipment - Gross</t>
  </si>
  <si>
    <t>Net Property, Plant &amp; Equipment</t>
  </si>
  <si>
    <t>Total Current Assets/Total Assets</t>
  </si>
  <si>
    <t>Total Current Assets</t>
  </si>
  <si>
    <t>Miscellaneous Current Assets</t>
  </si>
  <si>
    <t>Prepaid Expenses</t>
  </si>
  <si>
    <t>Other Current Assets</t>
  </si>
  <si>
    <t>Raw Materials</t>
  </si>
  <si>
    <t>Work in Progress</t>
  </si>
  <si>
    <t>Finished Goods</t>
  </si>
  <si>
    <t>Inventories</t>
  </si>
  <si>
    <t>Bad Debt/Doubtful Accounts</t>
  </si>
  <si>
    <t>Accounts Receivables, Gross</t>
  </si>
  <si>
    <t>Accounts Receivables, Net</t>
  </si>
  <si>
    <t>Short-Term Receivables</t>
  </si>
  <si>
    <t>Total Short Term Investments</t>
  </si>
  <si>
    <t>Cash Only</t>
  </si>
  <si>
    <t>Cash &amp; Short-Term Investments</t>
  </si>
  <si>
    <t>Assets</t>
  </si>
  <si>
    <t>GAAP/IFRS Balance Sheet</t>
  </si>
  <si>
    <t>Taxation</t>
  </si>
  <si>
    <t>Interest Paid</t>
  </si>
  <si>
    <t>Free Cash Flow Yield (%)</t>
  </si>
  <si>
    <t>Free Cash Flow per Share</t>
  </si>
  <si>
    <t>Free Cash Flow</t>
  </si>
  <si>
    <t>Net Change in Cash</t>
  </si>
  <si>
    <t>Exchange Rate Effect</t>
  </si>
  <si>
    <t>All Activities</t>
  </si>
  <si>
    <t>Net Financing Cash Flow</t>
  </si>
  <si>
    <t>Other Sources</t>
  </si>
  <si>
    <t>Other Uses</t>
  </si>
  <si>
    <t>Other Funds</t>
  </si>
  <si>
    <t>Reduction in Long-Term Debt</t>
  </si>
  <si>
    <t>Issuance of Long-Term Debt</t>
  </si>
  <si>
    <t>Change in Long-Term Debt</t>
  </si>
  <si>
    <t>Change in Current Debt</t>
  </si>
  <si>
    <t>Issuance/Reduction of Debt, Net</t>
  </si>
  <si>
    <t>Proceeds from Stock Options</t>
  </si>
  <si>
    <t>Sale of Common &amp; Preferred Stock</t>
  </si>
  <si>
    <t>Repurchase of Common &amp; Preferred Stk.</t>
  </si>
  <si>
    <t>Change in Capital Stock</t>
  </si>
  <si>
    <t>Common Dividends</t>
  </si>
  <si>
    <t>Cash Dividends Paid</t>
  </si>
  <si>
    <t>Financing Activities</t>
  </si>
  <si>
    <t>Net Investing Cash Flow</t>
  </si>
  <si>
    <t>Sale/Maturity of Investments</t>
  </si>
  <si>
    <t>Purchase of Investments</t>
  </si>
  <si>
    <t>Purchase/Sale of Investments</t>
  </si>
  <si>
    <t>Sale of Fixed Assets &amp; Businesses</t>
  </si>
  <si>
    <t>Net Assets from Acquisitions</t>
  </si>
  <si>
    <t>Capital Expenditures (Other Assets)</t>
  </si>
  <si>
    <t>Capital Expenditures (Fixed Assets)</t>
  </si>
  <si>
    <t>Capital Expenditures</t>
  </si>
  <si>
    <t>Investing Activities</t>
  </si>
  <si>
    <t>Net Operating Cash Flow</t>
  </si>
  <si>
    <t>Other Assets/Liabilities</t>
  </si>
  <si>
    <t>Income Taxes Payable</t>
  </si>
  <si>
    <t>Receivables</t>
  </si>
  <si>
    <t>Changes in Working Capital</t>
  </si>
  <si>
    <t>Funds from Operations</t>
  </si>
  <si>
    <t>Deferred Taxes</t>
  </si>
  <si>
    <t>Deferred Taxes &amp; Investment Tax Credit</t>
  </si>
  <si>
    <t>Amortization of Intangible Assets</t>
  </si>
  <si>
    <t>Depreciation and Depletion</t>
  </si>
  <si>
    <t>Depreciation, Depletion &amp; Amortization</t>
  </si>
  <si>
    <t>Net Income / Starting Line</t>
  </si>
  <si>
    <t>Operating Activities</t>
  </si>
  <si>
    <t>GAAP/IFRS Cash Flow</t>
  </si>
  <si>
    <t>Total Debt/Total Capital</t>
  </si>
  <si>
    <t>Net Debt/Total Capital</t>
  </si>
  <si>
    <t>Total Debt/Total Equity</t>
  </si>
  <si>
    <t>Total Debt/Total Assets</t>
  </si>
  <si>
    <t>LT Debt/Total Assets</t>
  </si>
  <si>
    <t>LT Debt/Total Capital</t>
  </si>
  <si>
    <t>LT Debt/Total Equity</t>
  </si>
  <si>
    <t>DEC '13</t>
  </si>
  <si>
    <t>DEC '14</t>
  </si>
  <si>
    <t>DEC '15</t>
  </si>
  <si>
    <t>DEC '16</t>
  </si>
  <si>
    <t>DEC '17</t>
  </si>
  <si>
    <t>DEC '18</t>
  </si>
  <si>
    <t>DEC '19</t>
  </si>
  <si>
    <t>DEC '20</t>
  </si>
  <si>
    <t>DEC '21</t>
  </si>
  <si>
    <t>DEC '22</t>
  </si>
  <si>
    <t>DEC '23</t>
  </si>
  <si>
    <t>FactSet Market Aggregrates</t>
  </si>
  <si>
    <t xml:space="preserve">FI1305US              </t>
  </si>
  <si>
    <t>United States / Semiconductors -IND</t>
  </si>
  <si>
    <t>Source: FactSet</t>
  </si>
  <si>
    <t>YTD Return: 66.3%</t>
  </si>
  <si>
    <t xml:space="preserve">United States / Semiconductors </t>
  </si>
  <si>
    <t>CFO/Total Debt</t>
  </si>
  <si>
    <t>FCF/Total Debt</t>
  </si>
  <si>
    <t>LT Debt/FFO</t>
  </si>
  <si>
    <t>Net Debt/FFO</t>
  </si>
  <si>
    <t>LT Debt/EBITDA</t>
  </si>
  <si>
    <t>CFO/Interest Expense</t>
  </si>
  <si>
    <t>EBITDA/Interest Expense</t>
  </si>
  <si>
    <t>EBIT/Interest Expense (Int. Coverage)</t>
  </si>
  <si>
    <t>Total Debt/EBIT</t>
  </si>
  <si>
    <t>Total Debt/EBITDA</t>
  </si>
  <si>
    <t>Net Debt/(EBITDA-Capex)</t>
  </si>
  <si>
    <t>Net Debt/EBITDA</t>
  </si>
  <si>
    <t>Enterprise Value/Sales</t>
  </si>
  <si>
    <t>Enterprise Value/EBITDA</t>
  </si>
  <si>
    <t>Enterprise Value/EBIT</t>
  </si>
  <si>
    <t>Price/Free Cash Flow</t>
  </si>
  <si>
    <t>Price/Cash Flow (excl negatives)</t>
  </si>
  <si>
    <t>Price/Cash Flow</t>
  </si>
  <si>
    <t>Price/Book Value</t>
  </si>
  <si>
    <t>Price/Sales</t>
  </si>
  <si>
    <t>Price/Earnings (excl negatives)</t>
  </si>
  <si>
    <t>Price/Earnings</t>
  </si>
  <si>
    <t>Free Cash Flow Margin</t>
  </si>
  <si>
    <t>Return on Invested Capital</t>
  </si>
  <si>
    <t>Return on Equity</t>
  </si>
  <si>
    <t>Return on Assets</t>
  </si>
  <si>
    <t>EBITDA Margin</t>
  </si>
  <si>
    <t>EBIT Margin</t>
  </si>
  <si>
    <t>Net Margin</t>
  </si>
  <si>
    <t>Operating Margin</t>
  </si>
  <si>
    <t>Gross Margin</t>
  </si>
  <si>
    <t>Total Asset turnover</t>
  </si>
  <si>
    <t>Quick Ratio</t>
  </si>
  <si>
    <t>Current Ratio</t>
  </si>
  <si>
    <t>Inventory Turnover</t>
  </si>
  <si>
    <t>Times Interest Earned</t>
  </si>
  <si>
    <t>Debt to Assets</t>
  </si>
  <si>
    <t>EBITDA/Sales</t>
  </si>
  <si>
    <t>ROIC</t>
  </si>
  <si>
    <t>P/E Ratio</t>
  </si>
  <si>
    <t>Treasury Stock</t>
  </si>
  <si>
    <t>Deferred Income</t>
  </si>
  <si>
    <t>Computer Software and Equipment</t>
  </si>
  <si>
    <t>Leases</t>
  </si>
  <si>
    <t>Construction in Progress</t>
  </si>
  <si>
    <t>Land &amp; Improvements</t>
  </si>
  <si>
    <t>JAN '14</t>
  </si>
  <si>
    <t>JAN '15</t>
  </si>
  <si>
    <t>JAN '16</t>
  </si>
  <si>
    <t>JAN '17</t>
  </si>
  <si>
    <t>JAN '18</t>
  </si>
  <si>
    <t>JAN '19</t>
  </si>
  <si>
    <t>JAN '20</t>
  </si>
  <si>
    <t>JAN '21</t>
  </si>
  <si>
    <t>JAN '22</t>
  </si>
  <si>
    <t>JAN '23</t>
  </si>
  <si>
    <t>JAN '24</t>
  </si>
  <si>
    <t xml:space="preserve">NVDA   67066G104   2379504   NASDAQ    Common stock    </t>
  </si>
  <si>
    <t>NVIDIA Corporation</t>
  </si>
  <si>
    <t>$121.40</t>
  </si>
  <si>
    <t>NVIDIA Corporation (NVDA)</t>
  </si>
  <si>
    <t>Other Unusual Expense</t>
  </si>
  <si>
    <t>Investments</t>
  </si>
  <si>
    <t>Unrealized Valuation Gain/Loss</t>
  </si>
  <si>
    <t>Legal Claim Expense</t>
  </si>
  <si>
    <t>ADI</t>
  </si>
  <si>
    <t>NVDA</t>
  </si>
  <si>
    <t>quick ratio</t>
  </si>
  <si>
    <t>total asset turnover</t>
  </si>
  <si>
    <t>Du Pont</t>
  </si>
  <si>
    <t>Price/Book value</t>
  </si>
  <si>
    <t>Operating Cash Flow</t>
  </si>
  <si>
    <t>NOPAT</t>
  </si>
  <si>
    <t xml:space="preserve"> Tax Rate</t>
  </si>
  <si>
    <t>CapEx</t>
  </si>
  <si>
    <t>Net Operating Working Capital</t>
  </si>
  <si>
    <t>Assets Included In Operations</t>
  </si>
  <si>
    <t>Non Interest Bearing Liabilities related to Operations</t>
  </si>
  <si>
    <r>
      <rPr>
        <sz val="10"/>
        <color theme="1"/>
        <rFont val="Aptos Narrow"/>
        <family val="2"/>
      </rPr>
      <t xml:space="preserve">∆ </t>
    </r>
    <r>
      <rPr>
        <sz val="10"/>
        <color theme="1"/>
        <rFont val="Arial"/>
        <family val="2"/>
      </rPr>
      <t>In NOWC</t>
    </r>
  </si>
  <si>
    <t>NOWC By Year</t>
  </si>
  <si>
    <t>FCF</t>
  </si>
  <si>
    <t>Total Non Interest Bearing Current Liabilities</t>
  </si>
  <si>
    <t>OCT '24</t>
  </si>
  <si>
    <t>OCT '25</t>
  </si>
  <si>
    <t>OCT '26</t>
  </si>
  <si>
    <t>OCT '27</t>
  </si>
  <si>
    <t>OCT '28</t>
  </si>
  <si>
    <t>OCT '29</t>
  </si>
  <si>
    <t>OCT '30</t>
  </si>
  <si>
    <t>OCT '31</t>
  </si>
  <si>
    <t>% of sales</t>
  </si>
  <si>
    <t>Price</t>
  </si>
  <si>
    <t>Market Cap</t>
  </si>
  <si>
    <t>Historical Values</t>
  </si>
  <si>
    <t>Predicted values</t>
  </si>
  <si>
    <t>Terminal Value: Multiple Methods</t>
  </si>
  <si>
    <t>WACC Calculation</t>
  </si>
  <si>
    <t>Discount Rate Calculations</t>
  </si>
  <si>
    <t>Risk Free Rate</t>
  </si>
  <si>
    <t>10 yr treasury bond 10/21/24</t>
  </si>
  <si>
    <t>Market risk premium</t>
  </si>
  <si>
    <t>Beta</t>
  </si>
  <si>
    <t>3 yr adjusted beta (FactSet)</t>
  </si>
  <si>
    <t>Cost of Debt</t>
  </si>
  <si>
    <t>Outstanding Bonds and notes</t>
  </si>
  <si>
    <t>Current Amount Outstanding</t>
  </si>
  <si>
    <t xml:space="preserve">Interest </t>
  </si>
  <si>
    <t>(#s in Millions of Dollars)</t>
  </si>
  <si>
    <t>Total Long term Debt Outstanding</t>
  </si>
  <si>
    <t>Interest on Long Term Debt</t>
  </si>
  <si>
    <t>Pre Tax Cost of Debt</t>
  </si>
  <si>
    <t>Tax Rate</t>
  </si>
  <si>
    <t>After Tax Cost of Debt</t>
  </si>
  <si>
    <t xml:space="preserve">Total Debt </t>
  </si>
  <si>
    <t>% Debt</t>
  </si>
  <si>
    <t>% Equity</t>
  </si>
  <si>
    <t>WACC</t>
  </si>
  <si>
    <t>Cost of Equity</t>
  </si>
  <si>
    <t>CAPM</t>
  </si>
  <si>
    <t>Terminal Value: Free Cash Flow</t>
  </si>
  <si>
    <t>Growth Rate</t>
  </si>
  <si>
    <t>Terminal Value</t>
  </si>
  <si>
    <t>Enterprise Value</t>
  </si>
  <si>
    <t>Equity Value</t>
  </si>
  <si>
    <t xml:space="preserve">As Recommended in  Part 5 explaination </t>
  </si>
  <si>
    <t>Shares Outstanding</t>
  </si>
  <si>
    <t>Intrinsic Value</t>
  </si>
  <si>
    <t>Recommendation</t>
  </si>
  <si>
    <t>Shares outsanding</t>
  </si>
  <si>
    <t>Industry Name</t>
  </si>
  <si>
    <t>Number of firms</t>
  </si>
  <si>
    <t>EV/EBITDAR&amp;D</t>
  </si>
  <si>
    <t>EV/EBITDA</t>
  </si>
  <si>
    <t>EV/EBIT</t>
  </si>
  <si>
    <t>EV/EBIT (1-t)</t>
  </si>
  <si>
    <t>EV/EBITDAR&amp;D2</t>
  </si>
  <si>
    <t>EV/EBITDA3</t>
  </si>
  <si>
    <t>EV/EBIT4</t>
  </si>
  <si>
    <t>EV/EBIT (1-t)5</t>
  </si>
  <si>
    <t>Advertising</t>
  </si>
  <si>
    <t>Aerospace/Defense</t>
  </si>
  <si>
    <t>Air Transport</t>
  </si>
  <si>
    <t>Apparel</t>
  </si>
  <si>
    <t>Auto &amp; Truck</t>
  </si>
  <si>
    <t>Auto Parts</t>
  </si>
  <si>
    <t>Bank (Money Center)</t>
  </si>
  <si>
    <t>NA</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</si>
  <si>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</si>
  <si>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</si>
  <si>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</si>
  <si>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</si>
  <si>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</si>
  <si>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</si>
  <si>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</si>
  <si>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</si>
  <si>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</si>
  <si>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</si>
  <si>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</si>
  <si>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</si>
  <si>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</si>
  <si>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</si>
  <si>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</si>
  <si>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</si>
  <si>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</si>
  <si>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</si>
  <si>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</si>
  <si>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</si>
  <si>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</si>
  <si>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</si>
  <si>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</si>
  <si>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</si>
  <si>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</si>
  <si>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</si>
  <si>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</si>
  <si>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</si>
  <si>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</si>
  <si>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</si>
  <si>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</si>
  <si>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</si>
  <si>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</si>
  <si>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</si>
  <si>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</si>
  <si>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</si>
  <si>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</si>
  <si>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</si>
  <si>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</si>
  <si>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</si>
  <si>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</si>
  <si>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</si>
  <si>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</si>
  <si>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</si>
  <si>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</si>
  <si>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</si>
  <si>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</si>
  <si>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</si>
  <si>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</si>
  <si>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</si>
  <si>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</si>
  <si>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</si>
  <si>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</si>
  <si>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</si>
  <si>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</si>
  <si>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</si>
  <si>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</si>
  <si>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</si>
  <si>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</si>
  <si>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</si>
  <si>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</si>
  <si>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</si>
  <si>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</si>
  <si>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</si>
  <si>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</si>
  <si>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</si>
  <si>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</si>
  <si>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(REITs)</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</si>
  <si>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</si>
  <si>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</si>
  <si>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</si>
  <si>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</si>
  <si>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</si>
  <si>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</si>
  <si>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</si>
  <si>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</si>
  <si>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</si>
  <si>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</si>
  <si>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</si>
  <si>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</si>
  <si>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</si>
  <si>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</si>
  <si>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</si>
  <si>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</si>
  <si>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</si>
  <si>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</si>
  <si>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</si>
  <si>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Total Market</t>
  </si>
  <si>
    <t>Total Market (without financials)</t>
  </si>
  <si>
    <t>Industry Average</t>
  </si>
  <si>
    <t>x</t>
  </si>
  <si>
    <t>Implied Enterprise Value</t>
  </si>
  <si>
    <t>Growth rate</t>
  </si>
  <si>
    <t>COGS</t>
  </si>
  <si>
    <t xml:space="preserve">EV/EBITDA </t>
  </si>
  <si>
    <t>Dividend Discount Model</t>
  </si>
  <si>
    <t>D0</t>
  </si>
  <si>
    <t>P0</t>
  </si>
  <si>
    <t>YTW%</t>
  </si>
  <si>
    <t>GR</t>
  </si>
  <si>
    <t>Dividend Growth</t>
  </si>
  <si>
    <t>MULTIPLE SENSITIVITY</t>
  </si>
  <si>
    <t>DDM SENSITIVITY</t>
  </si>
  <si>
    <t>DCF SENSITIVITY</t>
  </si>
  <si>
    <t>Stern Estimates</t>
  </si>
  <si>
    <t>EBIT Multiple</t>
  </si>
  <si>
    <t>EBITDA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</si>
</sst>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4" formatCode="_(&quot;$&quot;* #,##0.00_);_(&quot;$&quot;* \(#,##0.00\);_(&quot;$&quot;* &quot;-&quot;??_);_(@_)"/>
    <numFmt numFmtId="43" formatCode="_(* #,##0.00_);_(* \(#,##0.00\);_(* &quot;-&quot;??_);_(@_)"/>
    <numFmt numFmtId="164" formatCode="#,##0.0"/>
    <numFmt numFmtId="165" formatCode="0.000"/>
    <numFmt numFmtId="166" formatCode="#,##0.000"/>
    <numFmt numFmtId="167" formatCode="0.000%"/>
    <numFmt numFmtId="168" formatCode="_([$$-409]* #,##0_);_([$$-409]* \(#,##0\);_([$$-409]* &quot;-&quot;_);_(@_)"/>
    <numFmt numFmtId="169" formatCode="_([$$-409]* #,##0.00_);_([$$-409]* \(#,##0.00\);_([$$-409]* &quot;-&quot;??_);_(@_)"/>
    <numFmt numFmtId="170" formatCode="0.0%"/>
    <numFmt numFmtId="171" formatCode="#,##0.00%;[Red]\(#,##0.00%\)"/>
  </numFmts>
  <fonts count="24" x14ac:knownFonts="1">
    <font>
      <sz val="10"/>
      <color theme="1"/>
      <name val="Arial"/>
      <family val="2"/>
    </font>
    <font>
      <b/>
      <sz val="10"/>
      <color theme="1"/>
      <name val="Arial"/>
      <family val="2"/>
    </font>
    <font>
      <sz val="10"/>
      <color rgb="FF646464"/>
      <name val="Arial"/>
      <family val="2"/>
    </font>
    <font>
      <b/>
      <sz val="10"/>
      <color rgb="FF003366"/>
      <name val="Arial"/>
      <family val="2"/>
    </font>
    <font>
      <sz val="10"/>
      <color rgb="FFFF0000"/>
      <name val="Arial"/>
      <family val="2"/>
    </font>
    <font>
      <sz val="10"/>
      <color theme="1"/>
      <name val="Arial"/>
      <family val="2"/>
    </font>
    <font>
      <u/>
      <sz val="10"/>
      <color rgb="FF0000FF"/>
      <name val="Arial"/>
      <family val="2"/>
    </font>
    <font>
      <u/>
      <sz val="10"/>
      <color rgb="FFFF0000"/>
      <name val="Arial"/>
      <family val="2"/>
    </font>
    <font>
      <sz val="10"/>
      <color theme="4" tint="-0.249977111117893"/>
      <name val="Arial"/>
      <family val="2"/>
    </font>
    <font>
      <i/>
      <sz val="10"/>
      <color theme="1"/>
      <name val="Arial"/>
      <family val="2"/>
    </font>
    <font>
      <sz val="10"/>
      <color theme="1"/>
      <name val="Aptos Narrow"/>
      <family val="2"/>
    </font>
    <font>
      <b/>
      <sz val="9"/>
      <color indexed="81"/>
      <name val="Tahoma"/>
      <family val="2"/>
    </font>
    <font>
      <sz val="9"/>
      <color indexed="81"/>
      <name val="Tahoma"/>
      <family val="2"/>
    </font>
    <font>
      <i/>
      <sz val="8"/>
      <color theme="1"/>
      <name val="Arial"/>
      <family val="2"/>
    </font>
    <font>
      <sz val="10"/>
      <color theme="0"/>
      <name val="Arial"/>
      <family val="2"/>
    </font>
    <font>
      <b/>
      <sz val="10"/>
      <color theme="0"/>
      <name val="Arial"/>
      <family val="2"/>
    </font>
    <font>
      <b/>
      <i/>
      <sz val="8"/>
      <color theme="0"/>
      <name val="Arial"/>
      <family val="2"/>
    </font>
    <font>
      <sz val="9"/>
      <color theme="1"/>
      <name val="Arial"/>
      <family val="2"/>
    </font>
    <font>
      <b/>
      <i/>
      <sz val="10"/>
      <color theme="0"/>
      <name val="Arial"/>
      <family val="2"/>
    </font>
    <font>
      <sz val="12"/>
      <color theme="1"/>
      <name val="Calibri"/>
      <family val="2"/>
      <scheme val="minor"/>
    </font>
    <font>
      <i/>
      <sz val="10"/>
      <name val="Verdana"/>
      <family val="2"/>
    </font>
    <font>
      <u/>
      <sz val="12"/>
      <color theme="10"/>
      <name val="Calibri"/>
      <family val="2"/>
      <scheme val="minor"/>
    </font>
    <font>
      <sz val="10"/>
      <color theme="5"/>
      <name val="Arial"/>
      <family val="2"/>
    </font>
    <font>
      <sz val="10"/>
      <name val="Arial"/>
      <family val="2"/>
    </font>
  </fonts>
  <fills count="9">
    <fill>
      <patternFill patternType="none"/>
    </fill>
    <fill>
      <patternFill patternType="gray125"/>
    </fill>
    <fill>
      <patternFill patternType="solid">
        <fgColor rgb="FFC8C8C8"/>
        <bgColor indexed="64"/>
      </patternFill>
    </fill>
    <fill>
      <patternFill patternType="solid">
        <fgColor rgb="FFF0F0F0"/>
        <bgColor indexed="64"/>
      </patternFill>
    </fill>
    <fill>
      <patternFill patternType="solid">
        <fgColor theme="2" tint="-9.9978637043366805E-2"/>
        <bgColor indexed="64"/>
      </patternFill>
    </fill>
    <fill>
      <patternFill patternType="solid">
        <fgColor theme="0"/>
        <bgColor indexed="64"/>
      </patternFill>
    </fill>
    <fill>
      <patternFill patternType="solid">
        <fgColor rgb="FF0070C0"/>
        <bgColor indexed="64"/>
      </patternFill>
    </fill>
    <fill>
      <patternFill patternType="solid">
        <fgColor theme="7" tint="0.59999389629810485"/>
        <bgColor indexed="64"/>
      </patternFill>
    </fill>
    <fill>
      <patternFill patternType="solid">
        <fgColor theme="0" tint="-0.249977111117893"/>
        <bgColor indexed="64"/>
      </patternFill>
    </fill>
  </fills>
  <borders count="16">
    <border>
      <left/>
      <right/>
      <top/>
      <bottom/>
      <diagonal/>
    </border>
    <border>
      <left/>
      <right/>
      <top style="thin">
        <color rgb="FF000000"/>
      </top>
      <bottom/>
      <diagonal/>
    </border>
    <border>
      <left/>
      <right/>
      <top/>
      <bottom style="thin">
        <color rgb="FF000000"/>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5">
    <xf numFmtId="0" fontId="0" fillId="0" borderId="0"/>
    <xf numFmtId="9" fontId="5" fillId="0" borderId="0" applyFont="0" applyFill="0" applyBorder="0" applyAlignment="0" applyProtection="0"/>
    <xf numFmtId="0" fontId="6" fillId="0" borderId="0"/>
    <xf numFmtId="0" fontId="19" fillId="0" borderId="0"/>
    <xf numFmtId="0" fontId="21" fillId="0" borderId="0" applyNumberFormat="0" applyFill="0" applyBorder="0" applyAlignment="0" applyProtection="0"/>
  </cellStyleXfs>
  <cellXfs count="130">
    <xf numFmtId="0" fontId="0" fillId="0" borderId="0" xfId="0"/>
    <xf numFmtId="0" fontId="1" fillId="2" borderId="0" xfId="0" applyFont="1" applyFill="1" applyAlignment="1">
      <alignment horizontal="left"/>
    </xf>
    <xf numFmtId="0" fontId="3" fillId="0" borderId="0" xfId="0" applyFont="1" applyAlignment="1">
      <alignment horizontal="left"/>
    </xf>
    <xf numFmtId="164" fontId="3" fillId="0" borderId="0" xfId="0" applyNumberFormat="1" applyFont="1" applyAlignment="1">
      <alignment horizontal="right"/>
    </xf>
    <xf numFmtId="0" fontId="0" fillId="0" borderId="0" xfId="0" applyAlignment="1">
      <alignment horizontal="left" indent="1"/>
    </xf>
    <xf numFmtId="0" fontId="0" fillId="3" borderId="0" xfId="0" applyFill="1" applyAlignment="1">
      <alignment horizontal="left" indent="1"/>
    </xf>
    <xf numFmtId="4" fontId="4" fillId="3" borderId="0" xfId="0" applyNumberFormat="1" applyFont="1" applyFill="1" applyAlignment="1">
      <alignment horizontal="right"/>
    </xf>
    <xf numFmtId="4" fontId="0" fillId="3" borderId="0" xfId="0" applyNumberFormat="1" applyFill="1" applyAlignment="1">
      <alignment horizontal="right"/>
    </xf>
    <xf numFmtId="0" fontId="3" fillId="0" borderId="0" xfId="0" applyFont="1" applyAlignment="1">
      <alignment horizontal="left" indent="3"/>
    </xf>
    <xf numFmtId="0" fontId="0" fillId="0" borderId="0" xfId="0" applyAlignment="1">
      <alignment horizontal="left" indent="4"/>
    </xf>
    <xf numFmtId="0" fontId="0" fillId="3" borderId="0" xfId="0" applyFill="1" applyAlignment="1">
      <alignment horizontal="left" indent="4"/>
    </xf>
    <xf numFmtId="164" fontId="0" fillId="3" borderId="0" xfId="0" applyNumberFormat="1" applyFill="1" applyAlignment="1">
      <alignment horizontal="right"/>
    </xf>
    <xf numFmtId="0" fontId="3" fillId="0" borderId="0" xfId="0" applyFont="1" applyAlignment="1">
      <alignment horizontal="left" indent="6"/>
    </xf>
    <xf numFmtId="0" fontId="0" fillId="0" borderId="0" xfId="0" applyAlignment="1">
      <alignment horizontal="left" indent="7"/>
    </xf>
    <xf numFmtId="0" fontId="0" fillId="3" borderId="0" xfId="0" applyFill="1" applyAlignment="1">
      <alignment horizontal="left" indent="7"/>
    </xf>
    <xf numFmtId="164" fontId="0" fillId="0" borderId="0" xfId="0" applyNumberFormat="1" applyAlignment="1">
      <alignment horizontal="right"/>
    </xf>
    <xf numFmtId="0" fontId="3" fillId="3" borderId="0" xfId="0" applyFont="1" applyFill="1" applyAlignment="1">
      <alignment horizontal="left"/>
    </xf>
    <xf numFmtId="164" fontId="3" fillId="3" borderId="0" xfId="0" applyNumberFormat="1" applyFont="1" applyFill="1" applyAlignment="1">
      <alignment horizontal="right"/>
    </xf>
    <xf numFmtId="4" fontId="0" fillId="0" borderId="0" xfId="0" applyNumberFormat="1"/>
    <xf numFmtId="4" fontId="4" fillId="0" borderId="0" xfId="0" applyNumberFormat="1" applyFont="1" applyAlignment="1">
      <alignment horizontal="right"/>
    </xf>
    <xf numFmtId="4" fontId="0" fillId="0" borderId="0" xfId="0" applyNumberFormat="1" applyAlignment="1">
      <alignment horizontal="right"/>
    </xf>
    <xf numFmtId="0" fontId="3" fillId="3" borderId="0" xfId="0" applyFont="1" applyFill="1" applyAlignment="1">
      <alignment horizontal="left" indent="3"/>
    </xf>
    <xf numFmtId="164" fontId="4" fillId="3" borderId="0" xfId="0" applyNumberFormat="1" applyFont="1" applyFill="1" applyAlignment="1">
      <alignment horizontal="right"/>
    </xf>
    <xf numFmtId="0" fontId="0" fillId="3" borderId="0" xfId="0" applyFill="1" applyAlignment="1">
      <alignment horizontal="left"/>
    </xf>
    <xf numFmtId="0" fontId="3" fillId="3" borderId="0" xfId="0" applyFont="1" applyFill="1" applyAlignment="1">
      <alignment horizontal="left" indent="6"/>
    </xf>
    <xf numFmtId="0" fontId="0" fillId="0" borderId="0" xfId="0" applyAlignment="1">
      <alignment horizontal="left"/>
    </xf>
    <xf numFmtId="164" fontId="4" fillId="0" borderId="0" xfId="0" applyNumberFormat="1" applyFont="1" applyAlignment="1">
      <alignment horizontal="right"/>
    </xf>
    <xf numFmtId="4" fontId="3" fillId="3" borderId="0" xfId="0" applyNumberFormat="1" applyFont="1" applyFill="1" applyAlignment="1">
      <alignment horizontal="right"/>
    </xf>
    <xf numFmtId="4" fontId="3" fillId="0" borderId="0" xfId="0" applyNumberFormat="1" applyFont="1" applyAlignment="1">
      <alignment horizontal="right"/>
    </xf>
    <xf numFmtId="3" fontId="3" fillId="3"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0" fontId="2" fillId="0" borderId="0" xfId="0" applyFont="1" applyAlignment="1">
      <alignment horizontal="left"/>
    </xf>
    <xf numFmtId="0" fontId="1" fillId="0" borderId="0" xfId="0" applyFont="1"/>
    <xf numFmtId="0" fontId="0" fillId="0" borderId="1" xfId="0" applyBorder="1"/>
    <xf numFmtId="0" fontId="0" fillId="0" borderId="2" xfId="0" applyBorder="1"/>
    <xf numFmtId="3" fontId="4" fillId="0" borderId="0" xfId="0" applyNumberFormat="1" applyFont="1" applyAlignment="1">
      <alignment horizontal="right"/>
    </xf>
    <xf numFmtId="3" fontId="3" fillId="0" borderId="0" xfId="0" applyNumberFormat="1" applyFont="1" applyAlignment="1">
      <alignment horizontal="right"/>
    </xf>
    <xf numFmtId="3" fontId="4" fillId="3" borderId="0" xfId="0" applyNumberFormat="1" applyFont="1" applyFill="1" applyAlignment="1">
      <alignment horizontal="right"/>
    </xf>
    <xf numFmtId="4" fontId="6" fillId="0" borderId="0" xfId="2" applyNumberFormat="1" applyAlignment="1">
      <alignment horizontal="right"/>
    </xf>
    <xf numFmtId="4" fontId="7" fillId="3" borderId="0" xfId="2" applyNumberFormat="1" applyFont="1" applyFill="1" applyAlignment="1">
      <alignment horizontal="right"/>
    </xf>
    <xf numFmtId="4" fontId="6" fillId="3" borderId="0" xfId="2" applyNumberFormat="1" applyFill="1" applyAlignment="1">
      <alignment horizontal="right"/>
    </xf>
    <xf numFmtId="4" fontId="7" fillId="0" borderId="0" xfId="2" applyNumberFormat="1" applyFont="1" applyAlignment="1">
      <alignment horizontal="right"/>
    </xf>
    <xf numFmtId="165" fontId="0" fillId="0" borderId="0" xfId="0" applyNumberFormat="1"/>
    <xf numFmtId="0" fontId="0" fillId="4" borderId="0" xfId="0" applyFill="1"/>
    <xf numFmtId="0" fontId="1" fillId="4" borderId="0" xfId="0" applyFont="1" applyFill="1"/>
    <xf numFmtId="166" fontId="0" fillId="0" borderId="0" xfId="0" applyNumberFormat="1"/>
    <xf numFmtId="10" fontId="0" fillId="0" borderId="0" xfId="1" applyNumberFormat="1" applyFont="1"/>
    <xf numFmtId="167" fontId="0" fillId="0" borderId="0" xfId="1" applyNumberFormat="1" applyFont="1"/>
    <xf numFmtId="44" fontId="1" fillId="0" borderId="0" xfId="1" applyNumberFormat="1" applyFont="1"/>
    <xf numFmtId="43" fontId="0" fillId="0" borderId="0" xfId="0" applyNumberFormat="1"/>
    <xf numFmtId="0" fontId="0" fillId="0" borderId="0" xfId="0" applyAlignment="1">
      <alignment horizontal="left" indent="2"/>
    </xf>
    <xf numFmtId="43" fontId="8" fillId="0" borderId="3" xfId="1" applyNumberFormat="1" applyFont="1" applyBorder="1"/>
    <xf numFmtId="0" fontId="0" fillId="0" borderId="0" xfId="1" applyNumberFormat="1" applyFont="1" applyAlignment="1">
      <alignment horizontal="left" indent="2"/>
    </xf>
    <xf numFmtId="0" fontId="0" fillId="0" borderId="4" xfId="0" applyBorder="1"/>
    <xf numFmtId="0" fontId="9" fillId="0" borderId="0" xfId="0" applyFont="1"/>
    <xf numFmtId="0" fontId="9" fillId="0" borderId="0" xfId="0" applyFont="1" applyAlignment="1">
      <alignment horizontal="left"/>
    </xf>
    <xf numFmtId="44" fontId="0" fillId="0" borderId="0" xfId="0" applyNumberFormat="1"/>
    <xf numFmtId="44" fontId="0" fillId="0" borderId="0" xfId="0" applyNumberFormat="1" applyAlignment="1">
      <alignment horizontal="left" indent="1"/>
    </xf>
    <xf numFmtId="43" fontId="8" fillId="5" borderId="3" xfId="1" applyNumberFormat="1" applyFont="1" applyFill="1" applyBorder="1"/>
    <xf numFmtId="10" fontId="0" fillId="0" borderId="0" xfId="0" applyNumberFormat="1"/>
    <xf numFmtId="9" fontId="0" fillId="0" borderId="0" xfId="0" applyNumberFormat="1"/>
    <xf numFmtId="3" fontId="0" fillId="0" borderId="0" xfId="0" applyNumberFormat="1"/>
    <xf numFmtId="0" fontId="9" fillId="0" borderId="0" xfId="0" applyFont="1" applyAlignment="1">
      <alignment horizontal="left" indent="2"/>
    </xf>
    <xf numFmtId="169" fontId="1" fillId="0" borderId="0" xfId="0" applyNumberFormat="1" applyFont="1"/>
    <xf numFmtId="168" fontId="1" fillId="0" borderId="0" xfId="0" applyNumberFormat="1" applyFont="1"/>
    <xf numFmtId="0" fontId="13" fillId="0" borderId="0" xfId="0" applyFont="1"/>
    <xf numFmtId="170" fontId="0" fillId="0" borderId="0" xfId="1" applyNumberFormat="1" applyFont="1"/>
    <xf numFmtId="9" fontId="0" fillId="0" borderId="4" xfId="1" applyFont="1" applyBorder="1"/>
    <xf numFmtId="9" fontId="1" fillId="0" borderId="0" xfId="0" applyNumberFormat="1" applyFont="1"/>
    <xf numFmtId="0" fontId="15" fillId="6" borderId="0" xfId="0" applyFont="1" applyFill="1"/>
    <xf numFmtId="167" fontId="15" fillId="6" borderId="0" xfId="0" applyNumberFormat="1" applyFont="1" applyFill="1"/>
    <xf numFmtId="10" fontId="15" fillId="6" borderId="0" xfId="1" applyNumberFormat="1" applyFont="1" applyFill="1"/>
    <xf numFmtId="0" fontId="16" fillId="6" borderId="0" xfId="0" applyFont="1" applyFill="1"/>
    <xf numFmtId="0" fontId="13" fillId="0" borderId="0" xfId="0" applyFont="1" applyAlignment="1">
      <alignment vertical="top"/>
    </xf>
    <xf numFmtId="8" fontId="0" fillId="0" borderId="0" xfId="0" applyNumberFormat="1"/>
    <xf numFmtId="0" fontId="17" fillId="0" borderId="0" xfId="0" applyFont="1" applyAlignment="1">
      <alignment horizontal="left" indent="1"/>
    </xf>
    <xf numFmtId="44" fontId="15" fillId="6" borderId="0" xfId="1" applyNumberFormat="1" applyFont="1" applyFill="1"/>
    <xf numFmtId="44" fontId="18" fillId="6" borderId="0" xfId="1" applyNumberFormat="1" applyFont="1" applyFill="1"/>
    <xf numFmtId="0" fontId="14" fillId="5" borderId="0" xfId="0" applyFont="1" applyFill="1"/>
    <xf numFmtId="0" fontId="1" fillId="0" borderId="0" xfId="0" applyFont="1" applyAlignment="1">
      <alignment horizontal="center"/>
    </xf>
    <xf numFmtId="3" fontId="1" fillId="0" borderId="0" xfId="0" applyNumberFormat="1" applyFont="1"/>
    <xf numFmtId="0" fontId="19" fillId="0" borderId="6" xfId="3" applyBorder="1" applyAlignment="1">
      <alignment horizontal="center"/>
    </xf>
    <xf numFmtId="2" fontId="19" fillId="0" borderId="6" xfId="3" applyNumberFormat="1" applyBorder="1" applyAlignment="1">
      <alignment horizontal="center"/>
    </xf>
    <xf numFmtId="0" fontId="19" fillId="0" borderId="7" xfId="3" applyBorder="1" applyAlignment="1">
      <alignment horizontal="center"/>
    </xf>
    <xf numFmtId="2" fontId="19" fillId="0" borderId="7" xfId="3" applyNumberFormat="1" applyBorder="1" applyAlignment="1">
      <alignment horizontal="center"/>
    </xf>
    <xf numFmtId="0" fontId="19" fillId="0" borderId="8" xfId="3" applyBorder="1"/>
    <xf numFmtId="2" fontId="19" fillId="0" borderId="9" xfId="3" applyNumberFormat="1" applyBorder="1" applyAlignment="1">
      <alignment horizontal="center"/>
    </xf>
    <xf numFmtId="0" fontId="20" fillId="0" borderId="10" xfId="3" applyFont="1" applyBorder="1"/>
    <xf numFmtId="0" fontId="20" fillId="0" borderId="11" xfId="3" applyFont="1" applyBorder="1" applyAlignment="1">
      <alignment horizontal="center"/>
    </xf>
    <xf numFmtId="0" fontId="19" fillId="0" borderId="11" xfId="3" applyBorder="1"/>
    <xf numFmtId="0" fontId="19" fillId="0" borderId="11" xfId="3" applyBorder="1" applyAlignment="1">
      <alignment horizontal="center"/>
    </xf>
    <xf numFmtId="0" fontId="19" fillId="0" borderId="12" xfId="3" applyBorder="1" applyAlignment="1">
      <alignment horizontal="center"/>
    </xf>
    <xf numFmtId="0" fontId="19" fillId="0" borderId="13" xfId="3" applyBorder="1"/>
    <xf numFmtId="2" fontId="19" fillId="0" borderId="14" xfId="3" applyNumberFormat="1" applyBorder="1" applyAlignment="1">
      <alignment horizontal="center"/>
    </xf>
    <xf numFmtId="2" fontId="0" fillId="0" borderId="0" xfId="0" applyNumberFormat="1"/>
    <xf numFmtId="8" fontId="0" fillId="7" borderId="5" xfId="0" applyNumberFormat="1" applyFill="1" applyBorder="1"/>
    <xf numFmtId="170" fontId="1" fillId="7" borderId="0" xfId="0" applyNumberFormat="1" applyFont="1" applyFill="1"/>
    <xf numFmtId="9" fontId="1" fillId="7" borderId="0" xfId="0" applyNumberFormat="1" applyFont="1" applyFill="1"/>
    <xf numFmtId="169" fontId="0" fillId="0" borderId="0" xfId="0" applyNumberFormat="1"/>
    <xf numFmtId="2" fontId="0" fillId="0" borderId="4" xfId="0" applyNumberFormat="1" applyBorder="1"/>
    <xf numFmtId="10" fontId="22" fillId="0" borderId="0" xfId="0" applyNumberFormat="1" applyFont="1"/>
    <xf numFmtId="9" fontId="22" fillId="0" borderId="0" xfId="0" applyNumberFormat="1" applyFont="1"/>
    <xf numFmtId="2" fontId="1" fillId="0" borderId="0" xfId="0" applyNumberFormat="1" applyFont="1"/>
    <xf numFmtId="8" fontId="0" fillId="7" borderId="0" xfId="0" applyNumberFormat="1" applyFill="1"/>
    <xf numFmtId="9" fontId="23" fillId="5" borderId="0" xfId="0" applyNumberFormat="1" applyFont="1" applyFill="1"/>
    <xf numFmtId="10" fontId="1" fillId="7" borderId="0" xfId="0" applyNumberFormat="1" applyFont="1" applyFill="1"/>
    <xf numFmtId="39" fontId="0" fillId="0" borderId="0" xfId="0" applyNumberFormat="1"/>
    <xf numFmtId="39" fontId="22" fillId="0" borderId="0" xfId="0" applyNumberFormat="1" applyFont="1"/>
    <xf numFmtId="39" fontId="0" fillId="0" borderId="4" xfId="0" applyNumberFormat="1" applyBorder="1"/>
    <xf numFmtId="39" fontId="22" fillId="0" borderId="4" xfId="0" applyNumberFormat="1" applyFont="1" applyBorder="1"/>
    <xf numFmtId="0" fontId="1" fillId="8" borderId="0" xfId="0" applyFont="1" applyFill="1"/>
    <xf numFmtId="0" fontId="0" fillId="8" borderId="0" xfId="0" applyFill="1"/>
    <xf numFmtId="170" fontId="0" fillId="8" borderId="0" xfId="0" applyNumberFormat="1" applyFill="1"/>
    <xf numFmtId="8" fontId="0" fillId="8" borderId="0" xfId="0" applyNumberFormat="1" applyFill="1"/>
    <xf numFmtId="10" fontId="0" fillId="8" borderId="0" xfId="0" applyNumberFormat="1" applyFill="1"/>
    <xf numFmtId="10" fontId="1" fillId="8" borderId="0" xfId="0" applyNumberFormat="1" applyFont="1" applyFill="1"/>
    <xf numFmtId="9" fontId="0" fillId="8" borderId="0" xfId="0" applyNumberFormat="1" applyFill="1"/>
    <xf numFmtId="43" fontId="0" fillId="8" borderId="0" xfId="0" applyNumberFormat="1" applyFill="1"/>
    <xf numFmtId="2" fontId="0" fillId="8" borderId="0" xfId="0" applyNumberFormat="1" applyFill="1"/>
    <xf numFmtId="2" fontId="1" fillId="8" borderId="0" xfId="0" applyNumberFormat="1" applyFont="1" applyFill="1"/>
    <xf numFmtId="0" fontId="14" fillId="8" borderId="0" xfId="0" applyFont="1" applyFill="1"/>
    <xf numFmtId="9" fontId="23" fillId="8" borderId="0" xfId="0" applyNumberFormat="1" applyFont="1" applyFill="1"/>
    <xf numFmtId="10" fontId="23" fillId="8" borderId="0" xfId="0" applyNumberFormat="1" applyFont="1" applyFill="1"/>
    <xf numFmtId="0" fontId="0" fillId="8" borderId="6" xfId="0" applyFill="1" applyBorder="1"/>
    <xf numFmtId="0" fontId="0" fillId="8" borderId="8" xfId="0" applyFill="1" applyBorder="1"/>
    <xf numFmtId="0" fontId="0" fillId="8" borderId="15" xfId="0" applyFill="1" applyBorder="1"/>
    <xf numFmtId="171" fontId="0" fillId="0" borderId="0" xfId="1" applyNumberFormat="1" applyFont="1"/>
    <xf numFmtId="0" fontId="1" fillId="8" borderId="6" xfId="0" applyFont="1" applyFill="1" applyBorder="1" applyAlignment="1">
      <alignment horizontal="center"/>
    </xf>
    <xf numFmtId="0" fontId="1" fillId="8" borderId="9" xfId="0" applyFont="1" applyFill="1" applyBorder="1" applyAlignment="1">
      <alignment horizontal="center"/>
    </xf>
  </cellXfs>
  <cellStyles count="5">
    <cellStyle name="Hyperlink" xfId="2" builtinId="8"/>
    <cellStyle name="Hyperlink 2" xfId="4" xr:uid="{0536CE78-50A4-48C4-823F-5468BEBACB50}"/>
    <cellStyle name="Normal" xfId="0" builtinId="0"/>
    <cellStyle name="Normal 2" xfId="3" xr:uid="{4B25F979-92A8-47A2-AC46-0348A199C947}"/>
    <cellStyle name="Percent" xfId="1" builtinId="5"/>
  </cellStyles>
  <dxfs count="52">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 Target="richData/rdsupportingpropertybag.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Quick</a:t>
            </a:r>
            <a:r>
              <a:rPr lang="en-US" baseline="0"/>
              <a:t>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analysis'!$B$2:$L$2</c:f>
              <c:numCache>
                <c:formatCode>0.000</c:formatCode>
                <c:ptCount val="11"/>
                <c:pt idx="0">
                  <c:v>0.85655508906516176</c:v>
                </c:pt>
                <c:pt idx="1">
                  <c:v>1.4484558809983399</c:v>
                </c:pt>
                <c:pt idx="2">
                  <c:v>1.5080276156620629</c:v>
                </c:pt>
                <c:pt idx="3">
                  <c:v>1.3988626989580846</c:v>
                </c:pt>
                <c:pt idx="4">
                  <c:v>0.91158082289120201</c:v>
                </c:pt>
                <c:pt idx="5">
                  <c:v>1.4503150944903154</c:v>
                </c:pt>
                <c:pt idx="6">
                  <c:v>1.1279119882330242</c:v>
                </c:pt>
                <c:pt idx="7">
                  <c:v>5.8731744949127256</c:v>
                </c:pt>
                <c:pt idx="8">
                  <c:v>3.2924539651472848</c:v>
                </c:pt>
                <c:pt idx="9">
                  <c:v>4.8571043753948908</c:v>
                </c:pt>
                <c:pt idx="10">
                  <c:v>9.0954931710463587</c:v>
                </c:pt>
              </c:numCache>
            </c:numRef>
          </c:yVal>
          <c:smooth val="0"/>
          <c:extLst>
            <c:ext xmlns:c16="http://schemas.microsoft.com/office/drawing/2014/chart" uri="{C3380CC4-5D6E-409C-BE32-E72D297353CC}">
              <c16:uniqueId val="{00000000-C3B9-A449-AA7D-2A98DDDCC839}"/>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analysis'!$B$15:$L$15</c:f>
              <c:numCache>
                <c:formatCode>General</c:formatCode>
                <c:ptCount val="11"/>
                <c:pt idx="0">
                  <c:v>3.6744426676700215</c:v>
                </c:pt>
                <c:pt idx="1">
                  <c:v>2.7295444156635686</c:v>
                </c:pt>
                <c:pt idx="2">
                  <c:v>6.0493656286043826</c:v>
                </c:pt>
                <c:pt idx="3">
                  <c:v>3.6252229299363057</c:v>
                </c:pt>
                <c:pt idx="4">
                  <c:v>7.125</c:v>
                </c:pt>
                <c:pt idx="5">
                  <c:v>6.758465011286682</c:v>
                </c:pt>
                <c:pt idx="6">
                  <c:v>7.3365134431916736</c:v>
                </c:pt>
                <c:pt idx="7">
                  <c:v>4.3299776286353469</c:v>
                </c:pt>
                <c:pt idx="8">
                  <c:v>2.3968524032326668</c:v>
                </c:pt>
                <c:pt idx="9">
                  <c:v>5.8373090186712497</c:v>
                </c:pt>
                <c:pt idx="10">
                  <c:v>5.5217990474613909</c:v>
                </c:pt>
              </c:numCache>
            </c:numRef>
          </c:yVal>
          <c:smooth val="0"/>
          <c:extLst>
            <c:ext xmlns:c16="http://schemas.microsoft.com/office/drawing/2014/chart" uri="{C3380CC4-5D6E-409C-BE32-E72D297353CC}">
              <c16:uniqueId val="{00000005-C3B9-A449-AA7D-2A98DDDCC839}"/>
            </c:ext>
          </c:extLst>
        </c:ser>
        <c:dLbls>
          <c:showLegendKey val="0"/>
          <c:showVal val="0"/>
          <c:showCatName val="0"/>
          <c:showSerName val="0"/>
          <c:showPercent val="0"/>
          <c:showBubbleSize val="0"/>
        </c:dLbls>
        <c:axId val="465446719"/>
        <c:axId val="194283935"/>
      </c:scatterChart>
      <c:valAx>
        <c:axId val="4654467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283935"/>
        <c:crosses val="autoZero"/>
        <c:crossBetween val="midCat"/>
      </c:valAx>
      <c:valAx>
        <c:axId val="194283935"/>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446719"/>
        <c:crosses val="autoZero"/>
        <c:crossBetween val="midCat"/>
      </c:valAx>
      <c:spPr>
        <a:noFill/>
        <a:ln>
          <a:solidFill>
            <a:schemeClr val="accent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a:t>
            </a:r>
            <a:r>
              <a:rPr lang="en-US" baseline="0"/>
              <a:t>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analysis'!$B$3:$L$3</c:f>
              <c:numCache>
                <c:formatCode>0.000</c:formatCode>
                <c:ptCount val="11"/>
                <c:pt idx="0">
                  <c:v>1.3695912896430489</c:v>
                </c:pt>
                <c:pt idx="1">
                  <c:v>2.0215675156745427</c:v>
                </c:pt>
                <c:pt idx="2">
                  <c:v>1.9414120142424391</c:v>
                </c:pt>
                <c:pt idx="3">
                  <c:v>1.8444789909933141</c:v>
                </c:pt>
                <c:pt idx="4">
                  <c:v>1.3158450834928597</c:v>
                </c:pt>
                <c:pt idx="5">
                  <c:v>2.0082053876023536</c:v>
                </c:pt>
                <c:pt idx="6">
                  <c:v>1.4729630177181188</c:v>
                </c:pt>
                <c:pt idx="7">
                  <c:v>6.3541281896047437</c:v>
                </c:pt>
                <c:pt idx="8">
                  <c:v>3.6626307425729241</c:v>
                </c:pt>
                <c:pt idx="9">
                  <c:v>5.3760013313475943</c:v>
                </c:pt>
                <c:pt idx="10">
                  <c:v>9.5921295257593187</c:v>
                </c:pt>
              </c:numCache>
            </c:numRef>
          </c:yVal>
          <c:smooth val="0"/>
          <c:extLst>
            <c:ext xmlns:c16="http://schemas.microsoft.com/office/drawing/2014/chart" uri="{C3380CC4-5D6E-409C-BE32-E72D297353CC}">
              <c16:uniqueId val="{00000000-39F1-5E4A-A2A5-7698201A8553}"/>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analysis'!$B$16:$L$16</c:f>
              <c:numCache>
                <c:formatCode>General</c:formatCode>
                <c:ptCount val="11"/>
                <c:pt idx="0">
                  <c:v>4.1712915059730973</c:v>
                </c:pt>
                <c:pt idx="1">
                  <c:v>3.5156178576870332</c:v>
                </c:pt>
                <c:pt idx="2">
                  <c:v>6.6502883506343711</c:v>
                </c:pt>
                <c:pt idx="3">
                  <c:v>4.0904458598726112</c:v>
                </c:pt>
                <c:pt idx="4">
                  <c:v>7.6737668161434973</c:v>
                </c:pt>
                <c:pt idx="5">
                  <c:v>7.9435665914221216</c:v>
                </c:pt>
                <c:pt idx="6">
                  <c:v>8.0268863833477884</c:v>
                </c:pt>
                <c:pt idx="7">
                  <c:v>4.7740492170022373</c:v>
                </c:pt>
                <c:pt idx="8">
                  <c:v>2.5746490854955337</c:v>
                </c:pt>
                <c:pt idx="9">
                  <c:v>6.3762340546633478</c:v>
                </c:pt>
                <c:pt idx="10">
                  <c:v>5.9306557375320672</c:v>
                </c:pt>
              </c:numCache>
            </c:numRef>
          </c:yVal>
          <c:smooth val="0"/>
          <c:extLst>
            <c:ext xmlns:c16="http://schemas.microsoft.com/office/drawing/2014/chart" uri="{C3380CC4-5D6E-409C-BE32-E72D297353CC}">
              <c16:uniqueId val="{00000001-39F1-5E4A-A2A5-7698201A8553}"/>
            </c:ext>
          </c:extLst>
        </c:ser>
        <c:dLbls>
          <c:showLegendKey val="0"/>
          <c:showVal val="0"/>
          <c:showCatName val="0"/>
          <c:showSerName val="0"/>
          <c:showPercent val="0"/>
          <c:showBubbleSize val="0"/>
        </c:dLbls>
        <c:axId val="472432511"/>
        <c:axId val="464851151"/>
      </c:scatterChart>
      <c:valAx>
        <c:axId val="4724325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851151"/>
        <c:crosses val="autoZero"/>
        <c:crossBetween val="midCat"/>
      </c:valAx>
      <c:valAx>
        <c:axId val="46485115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4325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asset turnover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analysis'!$B$4:$L$4</c:f>
              <c:numCache>
                <c:formatCode>0.000</c:formatCode>
                <c:ptCount val="11"/>
                <c:pt idx="0">
                  <c:v>0.25219122130991956</c:v>
                </c:pt>
                <c:pt idx="1">
                  <c:v>0.23883482580833698</c:v>
                </c:pt>
                <c:pt idx="2">
                  <c:v>0.13986996042262928</c:v>
                </c:pt>
                <c:pt idx="3">
                  <c:v>0.26098838382730349</c:v>
                </c:pt>
                <c:pt idx="4">
                  <c:v>0.28005261248482594</c:v>
                </c:pt>
                <c:pt idx="5">
                  <c:v>0.30455903373097437</c:v>
                </c:pt>
                <c:pt idx="6">
                  <c:v>0.24158894909649331</c:v>
                </c:pt>
                <c:pt idx="7">
                  <c:v>0.42927097398610187</c:v>
                </c:pt>
                <c:pt idx="8">
                  <c:v>0.48640688467495441</c:v>
                </c:pt>
                <c:pt idx="9">
                  <c:v>0.4176242658195925</c:v>
                </c:pt>
                <c:pt idx="10">
                  <c:v>0.41269071963019544</c:v>
                </c:pt>
              </c:numCache>
            </c:numRef>
          </c:yVal>
          <c:smooth val="0"/>
          <c:extLst>
            <c:ext xmlns:c16="http://schemas.microsoft.com/office/drawing/2014/chart" uri="{C3380CC4-5D6E-409C-BE32-E72D297353CC}">
              <c16:uniqueId val="{00000000-9840-584F-81AA-02554134E70F}"/>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analysis'!$B$17:$L$17</c:f>
              <c:numCache>
                <c:formatCode>General</c:formatCode>
                <c:ptCount val="11"/>
                <c:pt idx="0">
                  <c:v>0.92688047711781885</c:v>
                </c:pt>
                <c:pt idx="1">
                  <c:v>0.65499490068476518</c:v>
                </c:pt>
                <c:pt idx="2">
                  <c:v>0.60909317219996828</c:v>
                </c:pt>
                <c:pt idx="3">
                  <c:v>0.57917404744538226</c:v>
                </c:pt>
                <c:pt idx="4">
                  <c:v>0.63055154490326304</c:v>
                </c:pt>
                <c:pt idx="5">
                  <c:v>0.88143244056575387</c:v>
                </c:pt>
                <c:pt idx="6">
                  <c:v>0.86415799306111551</c:v>
                </c:pt>
                <c:pt idx="7">
                  <c:v>0.7021644141855502</c:v>
                </c:pt>
                <c:pt idx="8">
                  <c:v>0.67978290366350069</c:v>
                </c:pt>
                <c:pt idx="9">
                  <c:v>0.6500857892555969</c:v>
                </c:pt>
                <c:pt idx="10">
                  <c:v>0.5696072787714177</c:v>
                </c:pt>
              </c:numCache>
            </c:numRef>
          </c:yVal>
          <c:smooth val="0"/>
          <c:extLst>
            <c:ext xmlns:c16="http://schemas.microsoft.com/office/drawing/2014/chart" uri="{C3380CC4-5D6E-409C-BE32-E72D297353CC}">
              <c16:uniqueId val="{00000001-9840-584F-81AA-02554134E70F}"/>
            </c:ext>
          </c:extLst>
        </c:ser>
        <c:dLbls>
          <c:showLegendKey val="0"/>
          <c:showVal val="0"/>
          <c:showCatName val="0"/>
          <c:showSerName val="0"/>
          <c:showPercent val="0"/>
          <c:showBubbleSize val="0"/>
        </c:dLbls>
        <c:axId val="470689727"/>
        <c:axId val="470337423"/>
      </c:scatterChart>
      <c:valAx>
        <c:axId val="470689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337423"/>
        <c:crosses val="autoZero"/>
        <c:crossBetween val="midCat"/>
      </c:valAx>
      <c:valAx>
        <c:axId val="47033742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6897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a:t>
            </a:r>
            <a:r>
              <a:rPr lang="en-US" baseline="0"/>
              <a:t> Turnover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analysis'!$B$5:$L$5</c:f>
              <c:numCache>
                <c:formatCode>0.000</c:formatCode>
                <c:ptCount val="11"/>
                <c:pt idx="0">
                  <c:v>3.2807697413370001</c:v>
                </c:pt>
                <c:pt idx="1">
                  <c:v>3.9313307817480214</c:v>
                </c:pt>
                <c:pt idx="2">
                  <c:v>2.7714270245958303</c:v>
                </c:pt>
                <c:pt idx="3">
                  <c:v>3.8462351625949429</c:v>
                </c:pt>
                <c:pt idx="4">
                  <c:v>3.94842970653532</c:v>
                </c:pt>
                <c:pt idx="5">
                  <c:v>4.096378417070011</c:v>
                </c:pt>
                <c:pt idx="6">
                  <c:v>4.2581297565793292</c:v>
                </c:pt>
                <c:pt idx="7">
                  <c:v>3.3631687270119901</c:v>
                </c:pt>
                <c:pt idx="8">
                  <c:v>3.0883816702804174</c:v>
                </c:pt>
                <c:pt idx="9">
                  <c:v>2.8857327676414068</c:v>
                </c:pt>
                <c:pt idx="10">
                  <c:v>3.3255275519963861</c:v>
                </c:pt>
              </c:numCache>
            </c:numRef>
          </c:yVal>
          <c:smooth val="0"/>
          <c:extLst>
            <c:ext xmlns:c16="http://schemas.microsoft.com/office/drawing/2014/chart" uri="{C3380CC4-5D6E-409C-BE32-E72D297353CC}">
              <c16:uniqueId val="{00000000-E67A-7747-B6E2-77E76A64DC53}"/>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analysis'!$B$18:$L$18</c:f>
              <c:numCache>
                <c:formatCode>General</c:formatCode>
                <c:ptCount val="11"/>
                <c:pt idx="0">
                  <c:v>11.533888678530859</c:v>
                </c:pt>
                <c:pt idx="1">
                  <c:v>5.2285326613684822</c:v>
                </c:pt>
                <c:pt idx="2">
                  <c:v>10.331669865642993</c:v>
                </c:pt>
                <c:pt idx="3">
                  <c:v>9.1319824753559686</c:v>
                </c:pt>
                <c:pt idx="4">
                  <c:v>11.152196118488254</c:v>
                </c:pt>
                <c:pt idx="5">
                  <c:v>7.4387301587301584</c:v>
                </c:pt>
                <c:pt idx="6">
                  <c:v>12.203517587939698</c:v>
                </c:pt>
                <c:pt idx="7">
                  <c:v>8.7027707808564223</c:v>
                </c:pt>
                <c:pt idx="8">
                  <c:v>11.985645933014354</c:v>
                </c:pt>
                <c:pt idx="9">
                  <c:v>9.6947087657100024</c:v>
                </c:pt>
                <c:pt idx="10">
                  <c:v>10.651198535195286</c:v>
                </c:pt>
              </c:numCache>
            </c:numRef>
          </c:yVal>
          <c:smooth val="0"/>
          <c:extLst>
            <c:ext xmlns:c16="http://schemas.microsoft.com/office/drawing/2014/chart" uri="{C3380CC4-5D6E-409C-BE32-E72D297353CC}">
              <c16:uniqueId val="{00000001-E67A-7747-B6E2-77E76A64DC53}"/>
            </c:ext>
          </c:extLst>
        </c:ser>
        <c:dLbls>
          <c:showLegendKey val="0"/>
          <c:showVal val="0"/>
          <c:showCatName val="0"/>
          <c:showSerName val="0"/>
          <c:showPercent val="0"/>
          <c:showBubbleSize val="0"/>
        </c:dLbls>
        <c:axId val="498354351"/>
        <c:axId val="498099919"/>
      </c:scatterChart>
      <c:valAx>
        <c:axId val="498354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99919"/>
        <c:crosses val="autoZero"/>
        <c:crossBetween val="midCat"/>
      </c:valAx>
      <c:valAx>
        <c:axId val="49809991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3543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Times</a:t>
            </a:r>
            <a:r>
              <a:rPr lang="en-US" baseline="0"/>
              <a:t> Interest Earned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analysis'!$B$6:$L$6</c:f>
              <c:numCache>
                <c:formatCode>0.000</c:formatCode>
                <c:ptCount val="11"/>
                <c:pt idx="0">
                  <c:v>15.94513477040377</c:v>
                </c:pt>
                <c:pt idx="1">
                  <c:v>16.386892737227804</c:v>
                </c:pt>
                <c:pt idx="2">
                  <c:v>9.701426219126029</c:v>
                </c:pt>
                <c:pt idx="3">
                  <c:v>8.0611290165555616</c:v>
                </c:pt>
                <c:pt idx="4">
                  <c:v>7.8022792739640456</c:v>
                </c:pt>
                <c:pt idx="5">
                  <c:v>7.7747210274909326</c:v>
                </c:pt>
                <c:pt idx="6">
                  <c:v>4.6298750593072917</c:v>
                </c:pt>
                <c:pt idx="7">
                  <c:v>11.579811740846063</c:v>
                </c:pt>
                <c:pt idx="8">
                  <c:v>31.862844142824091</c:v>
                </c:pt>
                <c:pt idx="9">
                  <c:v>24.624833031553326</c:v>
                </c:pt>
                <c:pt idx="10">
                  <c:v>24.312868765915162</c:v>
                </c:pt>
              </c:numCache>
            </c:numRef>
          </c:yVal>
          <c:smooth val="0"/>
          <c:extLst>
            <c:ext xmlns:c16="http://schemas.microsoft.com/office/drawing/2014/chart" uri="{C3380CC4-5D6E-409C-BE32-E72D297353CC}">
              <c16:uniqueId val="{00000000-07B3-7E49-876C-173B7DEF9EAC}"/>
            </c:ext>
          </c:extLst>
        </c:ser>
        <c:ser>
          <c:idx val="1"/>
          <c:order val="1"/>
          <c:tx>
            <c:v>Industry</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Coverage!$B$14:$L$14</c:f>
              <c:numCache>
                <c:formatCode>#,##0.00</c:formatCode>
                <c:ptCount val="11"/>
                <c:pt idx="0">
                  <c:v>8.5449520000000003</c:v>
                </c:pt>
                <c:pt idx="1">
                  <c:v>14.884891</c:v>
                </c:pt>
                <c:pt idx="2">
                  <c:v>13.04419</c:v>
                </c:pt>
                <c:pt idx="3">
                  <c:v>9.7807139999999997</c:v>
                </c:pt>
                <c:pt idx="4">
                  <c:v>10.361878000000001</c:v>
                </c:pt>
                <c:pt idx="5">
                  <c:v>16.725598000000002</c:v>
                </c:pt>
                <c:pt idx="6">
                  <c:v>11.109911</c:v>
                </c:pt>
                <c:pt idx="7">
                  <c:v>7.747617</c:v>
                </c:pt>
                <c:pt idx="8">
                  <c:v>11.563312</c:v>
                </c:pt>
                <c:pt idx="9">
                  <c:v>12.001382</c:v>
                </c:pt>
                <c:pt idx="10">
                  <c:v>10.614253</c:v>
                </c:pt>
              </c:numCache>
            </c:numRef>
          </c:yVal>
          <c:smooth val="0"/>
          <c:extLst>
            <c:ext xmlns:c16="http://schemas.microsoft.com/office/drawing/2014/chart" uri="{C3380CC4-5D6E-409C-BE32-E72D297353CC}">
              <c16:uniqueId val="{00000001-07B3-7E49-876C-173B7DEF9EAC}"/>
            </c:ext>
          </c:extLst>
        </c:ser>
        <c:dLbls>
          <c:showLegendKey val="0"/>
          <c:showVal val="0"/>
          <c:showCatName val="0"/>
          <c:showSerName val="0"/>
          <c:showPercent val="0"/>
          <c:showBubbleSize val="0"/>
        </c:dLbls>
        <c:axId val="473644047"/>
        <c:axId val="473989983"/>
      </c:scatterChart>
      <c:valAx>
        <c:axId val="4736440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989983"/>
        <c:crosses val="autoZero"/>
        <c:crossBetween val="midCat"/>
      </c:valAx>
      <c:valAx>
        <c:axId val="4739899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6440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Debt</a:t>
            </a:r>
            <a:r>
              <a:rPr lang="en-US" baseline="0"/>
              <a:t> To Assets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analysis'!$B$7:$L$7</c:f>
              <c:numCache>
                <c:formatCode>#,##0.000</c:formatCode>
                <c:ptCount val="11"/>
                <c:pt idx="0">
                  <c:v>27.112403989648172</c:v>
                </c:pt>
                <c:pt idx="1">
                  <c:v>27.507714848312258</c:v>
                </c:pt>
                <c:pt idx="2">
                  <c:v>27.387159426468422</c:v>
                </c:pt>
                <c:pt idx="3">
                  <c:v>44.1139928853312</c:v>
                </c:pt>
                <c:pt idx="4">
                  <c:v>45.265346153380499</c:v>
                </c:pt>
                <c:pt idx="5">
                  <c:v>44.867544695109181</c:v>
                </c:pt>
                <c:pt idx="6">
                  <c:v>51.93510860782694</c:v>
                </c:pt>
                <c:pt idx="7">
                  <c:v>35.188985879789882</c:v>
                </c:pt>
                <c:pt idx="8">
                  <c:v>28.167216969042698</c:v>
                </c:pt>
                <c:pt idx="9">
                  <c:v>30.639766520061407</c:v>
                </c:pt>
                <c:pt idx="10">
                  <c:v>25.73234614329925</c:v>
                </c:pt>
              </c:numCache>
            </c:numRef>
          </c:yVal>
          <c:smooth val="0"/>
          <c:extLst>
            <c:ext xmlns:c16="http://schemas.microsoft.com/office/drawing/2014/chart" uri="{C3380CC4-5D6E-409C-BE32-E72D297353CC}">
              <c16:uniqueId val="{00000000-0C5F-B346-B9C2-C108BF6E076B}"/>
            </c:ext>
          </c:extLst>
        </c:ser>
        <c:ser>
          <c:idx val="1"/>
          <c:order val="1"/>
          <c:tx>
            <c:v>Industry</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'Leverage avg'!$B$13:$L$13</c:f>
              <c:numCache>
                <c:formatCode>#,##0.00</c:formatCode>
                <c:ptCount val="11"/>
                <c:pt idx="0">
                  <c:v>25.474741999999999</c:v>
                </c:pt>
                <c:pt idx="1">
                  <c:v>25.168882</c:v>
                </c:pt>
                <c:pt idx="2">
                  <c:v>26.834538999999999</c:v>
                </c:pt>
                <c:pt idx="3">
                  <c:v>30.389403999999999</c:v>
                </c:pt>
                <c:pt idx="4">
                  <c:v>27.578368999999999</c:v>
                </c:pt>
                <c:pt idx="5">
                  <c:v>25.256899000000001</c:v>
                </c:pt>
                <c:pt idx="6">
                  <c:v>27.910423999999999</c:v>
                </c:pt>
                <c:pt idx="7">
                  <c:v>28.125098000000001</c:v>
                </c:pt>
                <c:pt idx="8">
                  <c:v>26.005212</c:v>
                </c:pt>
                <c:pt idx="9">
                  <c:v>23.925598000000001</c:v>
                </c:pt>
                <c:pt idx="10">
                  <c:v>20.679684999999999</c:v>
                </c:pt>
              </c:numCache>
            </c:numRef>
          </c:yVal>
          <c:smooth val="0"/>
          <c:extLst>
            <c:ext xmlns:c16="http://schemas.microsoft.com/office/drawing/2014/chart" uri="{C3380CC4-5D6E-409C-BE32-E72D297353CC}">
              <c16:uniqueId val="{00000001-0C5F-B346-B9C2-C108BF6E076B}"/>
            </c:ext>
          </c:extLst>
        </c:ser>
        <c:dLbls>
          <c:showLegendKey val="0"/>
          <c:showVal val="0"/>
          <c:showCatName val="0"/>
          <c:showSerName val="0"/>
          <c:showPercent val="0"/>
          <c:showBubbleSize val="0"/>
        </c:dLbls>
        <c:axId val="498266271"/>
        <c:axId val="498955839"/>
      </c:scatterChart>
      <c:valAx>
        <c:axId val="498266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955839"/>
        <c:crosses val="autoZero"/>
        <c:crossBetween val="midCat"/>
      </c:valAx>
      <c:valAx>
        <c:axId val="49895583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2662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EBITDA</a:t>
            </a:r>
            <a:r>
              <a:rPr lang="en-US" baseline="0"/>
              <a:t>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analysis'!$B$8:$L$8</c:f>
              <c:numCache>
                <c:formatCode>0.000</c:formatCode>
                <c:ptCount val="11"/>
                <c:pt idx="0">
                  <c:v>50.992792757797936</c:v>
                </c:pt>
                <c:pt idx="1">
                  <c:v>48.494488034038419</c:v>
                </c:pt>
                <c:pt idx="2">
                  <c:v>40.849086794366876</c:v>
                </c:pt>
                <c:pt idx="3">
                  <c:v>42.550725889585969</c:v>
                </c:pt>
                <c:pt idx="4">
                  <c:v>43.561036309904836</c:v>
                </c:pt>
                <c:pt idx="5">
                  <c:v>44.345235561166184</c:v>
                </c:pt>
                <c:pt idx="6">
                  <c:v>34.362133512207436</c:v>
                </c:pt>
                <c:pt idx="7">
                  <c:v>36.838039532835737</c:v>
                </c:pt>
                <c:pt idx="8">
                  <c:v>30.523898632118151</c:v>
                </c:pt>
                <c:pt idx="9">
                  <c:v>33.914938461092724</c:v>
                </c:pt>
                <c:pt idx="10">
                  <c:v>33.919836396780333</c:v>
                </c:pt>
              </c:numCache>
            </c:numRef>
          </c:yVal>
          <c:smooth val="0"/>
          <c:extLst>
            <c:ext xmlns:c16="http://schemas.microsoft.com/office/drawing/2014/chart" uri="{C3380CC4-5D6E-409C-BE32-E72D297353CC}">
              <c16:uniqueId val="{00000000-A931-094B-B569-106C0A06AE62}"/>
            </c:ext>
          </c:extLst>
        </c:ser>
        <c:ser>
          <c:idx val="1"/>
          <c:order val="1"/>
          <c:tx>
            <c:v>Industry</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Profitability!$B$14:$L$14</c:f>
              <c:numCache>
                <c:formatCode>#,##0.00</c:formatCode>
                <c:ptCount val="11"/>
                <c:pt idx="0">
                  <c:v>31.998370000000001</c:v>
                </c:pt>
                <c:pt idx="1">
                  <c:v>36.195813999999999</c:v>
                </c:pt>
                <c:pt idx="2">
                  <c:v>38.948650999999998</c:v>
                </c:pt>
                <c:pt idx="3">
                  <c:v>37.965499999999999</c:v>
                </c:pt>
                <c:pt idx="4">
                  <c:v>39.066868999999997</c:v>
                </c:pt>
                <c:pt idx="5">
                  <c:v>41.724044999999997</c:v>
                </c:pt>
                <c:pt idx="6">
                  <c:v>35.913882999999998</c:v>
                </c:pt>
                <c:pt idx="7">
                  <c:v>30.486674000000001</c:v>
                </c:pt>
                <c:pt idx="8">
                  <c:v>31.725089000000001</c:v>
                </c:pt>
                <c:pt idx="9">
                  <c:v>30.126377999999999</c:v>
                </c:pt>
                <c:pt idx="10">
                  <c:v>26.752980999999998</c:v>
                </c:pt>
              </c:numCache>
            </c:numRef>
          </c:yVal>
          <c:smooth val="0"/>
          <c:extLst>
            <c:ext xmlns:c16="http://schemas.microsoft.com/office/drawing/2014/chart" uri="{C3380CC4-5D6E-409C-BE32-E72D297353CC}">
              <c16:uniqueId val="{00000001-A931-094B-B569-106C0A06AE62}"/>
            </c:ext>
          </c:extLst>
        </c:ser>
        <c:dLbls>
          <c:showLegendKey val="0"/>
          <c:showVal val="0"/>
          <c:showCatName val="0"/>
          <c:showSerName val="0"/>
          <c:showPercent val="0"/>
          <c:showBubbleSize val="0"/>
        </c:dLbls>
        <c:axId val="502493151"/>
        <c:axId val="502494863"/>
      </c:scatterChart>
      <c:valAx>
        <c:axId val="502493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494863"/>
        <c:crosses val="autoZero"/>
        <c:crossBetween val="midCat"/>
      </c:valAx>
      <c:valAx>
        <c:axId val="50249486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4931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analysis'!$B$9:$L$9</c:f>
              <c:numCache>
                <c:formatCode>0.000%</c:formatCode>
                <c:ptCount val="11"/>
                <c:pt idx="0">
                  <c:v>7.5590746149595045E-2</c:v>
                </c:pt>
                <c:pt idx="1">
                  <c:v>6.3186272609530178E-2</c:v>
                </c:pt>
                <c:pt idx="2">
                  <c:v>3.7776161421439143E-2</c:v>
                </c:pt>
                <c:pt idx="3">
                  <c:v>6.9047902185344803E-2</c:v>
                </c:pt>
                <c:pt idx="4">
                  <c:v>7.8335442547743397E-2</c:v>
                </c:pt>
                <c:pt idx="5">
                  <c:v>8.8703568572947547E-2</c:v>
                </c:pt>
                <c:pt idx="6">
                  <c:v>5.060059237622825E-2</c:v>
                </c:pt>
                <c:pt idx="7">
                  <c:v>0.11986194208031387</c:v>
                </c:pt>
                <c:pt idx="8">
                  <c:v>0.10097380723057392</c:v>
                </c:pt>
                <c:pt idx="9">
                  <c:v>0.10635480612097632</c:v>
                </c:pt>
                <c:pt idx="10">
                  <c:v>0.10045630117130881</c:v>
                </c:pt>
              </c:numCache>
            </c:numRef>
          </c:yVal>
          <c:smooth val="0"/>
          <c:extLst>
            <c:ext xmlns:c16="http://schemas.microsoft.com/office/drawing/2014/chart" uri="{C3380CC4-5D6E-409C-BE32-E72D297353CC}">
              <c16:uniqueId val="{00000000-831A-0C4A-AF80-A219C7C310C3}"/>
            </c:ext>
          </c:extLst>
        </c:ser>
        <c:ser>
          <c:idx val="1"/>
          <c:order val="1"/>
          <c:tx>
            <c:v>Industry</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Profitability!$B$19:$L$19</c:f>
              <c:numCache>
                <c:formatCode>General</c:formatCode>
                <c:ptCount val="11"/>
                <c:pt idx="0">
                  <c:v>9.6290049999999988E-2</c:v>
                </c:pt>
                <c:pt idx="1">
                  <c:v>0.13974147000000001</c:v>
                </c:pt>
                <c:pt idx="2">
                  <c:v>0.14060361999999998</c:v>
                </c:pt>
                <c:pt idx="3">
                  <c:v>0.12305172</c:v>
                </c:pt>
                <c:pt idx="4">
                  <c:v>0.13230158</c:v>
                </c:pt>
                <c:pt idx="5">
                  <c:v>0.19647576</c:v>
                </c:pt>
                <c:pt idx="6">
                  <c:v>0.12325662</c:v>
                </c:pt>
                <c:pt idx="7">
                  <c:v>7.8191960000000005E-2</c:v>
                </c:pt>
                <c:pt idx="8">
                  <c:v>0.11255714</c:v>
                </c:pt>
                <c:pt idx="9">
                  <c:v>0.1246411</c:v>
                </c:pt>
                <c:pt idx="10">
                  <c:v>0.10000049999999999</c:v>
                </c:pt>
              </c:numCache>
            </c:numRef>
          </c:yVal>
          <c:smooth val="0"/>
          <c:extLst>
            <c:ext xmlns:c16="http://schemas.microsoft.com/office/drawing/2014/chart" uri="{C3380CC4-5D6E-409C-BE32-E72D297353CC}">
              <c16:uniqueId val="{00000001-831A-0C4A-AF80-A219C7C310C3}"/>
            </c:ext>
          </c:extLst>
        </c:ser>
        <c:dLbls>
          <c:showLegendKey val="0"/>
          <c:showVal val="0"/>
          <c:showCatName val="0"/>
          <c:showSerName val="0"/>
          <c:showPercent val="0"/>
          <c:showBubbleSize val="0"/>
        </c:dLbls>
        <c:axId val="503090703"/>
        <c:axId val="503188015"/>
      </c:scatterChart>
      <c:valAx>
        <c:axId val="50309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188015"/>
        <c:crosses val="autoZero"/>
        <c:crossBetween val="midCat"/>
      </c:valAx>
      <c:valAx>
        <c:axId val="50318801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9070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to Earnings Ratio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analysis'!$B$10:$L$10</c:f>
              <c:numCache>
                <c:formatCode>0.000</c:formatCode>
                <c:ptCount val="11"/>
                <c:pt idx="0">
                  <c:v>35.160689122232831</c:v>
                </c:pt>
                <c:pt idx="1">
                  <c:v>43.835952848722989</c:v>
                </c:pt>
                <c:pt idx="2">
                  <c:v>66.334114687553594</c:v>
                </c:pt>
                <c:pt idx="3">
                  <c:v>70.071868583162228</c:v>
                </c:pt>
                <c:pt idx="4">
                  <c:v>62.99372913103673</c:v>
                </c:pt>
                <c:pt idx="5">
                  <c:v>57.265189279897342</c:v>
                </c:pt>
                <c:pt idx="6">
                  <c:v>111.02870813397131</c:v>
                </c:pt>
                <c:pt idx="7">
                  <c:v>83.172043010752688</c:v>
                </c:pt>
                <c:pt idx="8">
                  <c:v>104.05829596412556</c:v>
                </c:pt>
                <c:pt idx="9">
                  <c:v>115.44776119402987</c:v>
                </c:pt>
                <c:pt idx="10">
                  <c:v>106.04121921125989</c:v>
                </c:pt>
              </c:numCache>
            </c:numRef>
          </c:yVal>
          <c:smooth val="0"/>
          <c:extLst>
            <c:ext xmlns:c16="http://schemas.microsoft.com/office/drawing/2014/chart" uri="{C3380CC4-5D6E-409C-BE32-E72D297353CC}">
              <c16:uniqueId val="{00000000-87F1-A24E-9E1F-2BE1CE00B569}"/>
            </c:ext>
          </c:extLst>
        </c:ser>
        <c:ser>
          <c:idx val="1"/>
          <c:order val="1"/>
          <c:tx>
            <c:v>Industry</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'Valuation Avg'!$B$10:$L$10</c:f>
              <c:numCache>
                <c:formatCode>#,##0.00</c:formatCode>
                <c:ptCount val="11"/>
                <c:pt idx="0">
                  <c:v>52.598650999999997</c:v>
                </c:pt>
                <c:pt idx="1">
                  <c:v>19.779416999999999</c:v>
                </c:pt>
                <c:pt idx="2">
                  <c:v>35.452573000000001</c:v>
                </c:pt>
                <c:pt idx="3">
                  <c:v>32.169885999999998</c:v>
                </c:pt>
                <c:pt idx="4">
                  <c:v>24.22964</c:v>
                </c:pt>
                <c:pt idx="5">
                  <c:v>12.237729</c:v>
                </c:pt>
                <c:pt idx="6">
                  <c:v>23.572327000000001</c:v>
                </c:pt>
                <c:pt idx="7">
                  <c:v>31.293807999999999</c:v>
                </c:pt>
                <c:pt idx="8">
                  <c:v>20.002960999999999</c:v>
                </c:pt>
                <c:pt idx="9">
                  <c:v>21.271649</c:v>
                </c:pt>
                <c:pt idx="10">
                  <c:v>21.786014999999999</c:v>
                </c:pt>
              </c:numCache>
            </c:numRef>
          </c:yVal>
          <c:smooth val="0"/>
          <c:extLst>
            <c:ext xmlns:c16="http://schemas.microsoft.com/office/drawing/2014/chart" uri="{C3380CC4-5D6E-409C-BE32-E72D297353CC}">
              <c16:uniqueId val="{00000002-87F1-A24E-9E1F-2BE1CE00B569}"/>
            </c:ext>
          </c:extLst>
        </c:ser>
        <c:dLbls>
          <c:showLegendKey val="0"/>
          <c:showVal val="0"/>
          <c:showCatName val="0"/>
          <c:showSerName val="0"/>
          <c:showPercent val="0"/>
          <c:showBubbleSize val="0"/>
        </c:dLbls>
        <c:axId val="524349951"/>
        <c:axId val="521752783"/>
      </c:scatterChart>
      <c:valAx>
        <c:axId val="524349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752783"/>
        <c:crosses val="autoZero"/>
        <c:crossBetween val="midCat"/>
      </c:valAx>
      <c:valAx>
        <c:axId val="521752783"/>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3499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a:t>
            </a:r>
            <a:r>
              <a:rPr lang="en-US" baseline="0"/>
              <a:t> to Book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analysis'!$B$11:$L$11</c:f>
              <c:numCache>
                <c:formatCode>#,##0.00</c:formatCode>
                <c:ptCount val="11"/>
                <c:pt idx="0">
                  <c:v>3.2379339344267097</c:v>
                </c:pt>
                <c:pt idx="1">
                  <c:v>3.0788980590361827</c:v>
                </c:pt>
                <c:pt idx="2">
                  <c:v>2.8877424600255526</c:v>
                </c:pt>
                <c:pt idx="3">
                  <c:v>6.0742182206991355</c:v>
                </c:pt>
                <c:pt idx="4">
                  <c:v>5.8391460579158725</c:v>
                </c:pt>
                <c:pt idx="5">
                  <c:v>5.7171338102497939</c:v>
                </c:pt>
                <c:pt idx="6">
                  <c:v>5.8927432572738274</c:v>
                </c:pt>
                <c:pt idx="7">
                  <c:v>8.9983713355048813</c:v>
                </c:pt>
                <c:pt idx="8">
                  <c:v>8.564669002578686</c:v>
                </c:pt>
                <c:pt idx="9">
                  <c:v>8.34787028007087</c:v>
                </c:pt>
                <c:pt idx="10">
                  <c:v>7.6143930897208758</c:v>
                </c:pt>
              </c:numCache>
            </c:numRef>
          </c:yVal>
          <c:smooth val="0"/>
          <c:extLst>
            <c:ext xmlns:c16="http://schemas.microsoft.com/office/drawing/2014/chart" uri="{C3380CC4-5D6E-409C-BE32-E72D297353CC}">
              <c16:uniqueId val="{00000000-E6F1-9148-A57F-D123749F683E}"/>
            </c:ext>
          </c:extLst>
        </c:ser>
        <c:ser>
          <c:idx val="1"/>
          <c:order val="1"/>
          <c:tx>
            <c:v>Industry</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'Valuation Avg'!$B$13:$L$13</c:f>
              <c:numCache>
                <c:formatCode>#,##0.00</c:formatCode>
                <c:ptCount val="11"/>
                <c:pt idx="0">
                  <c:v>7.1561399999999997</c:v>
                </c:pt>
                <c:pt idx="1">
                  <c:v>3.928023</c:v>
                </c:pt>
                <c:pt idx="2">
                  <c:v>7.2764309999999996</c:v>
                </c:pt>
                <c:pt idx="3">
                  <c:v>6.1654369999999998</c:v>
                </c:pt>
                <c:pt idx="4">
                  <c:v>4.6549519999999998</c:v>
                </c:pt>
                <c:pt idx="5">
                  <c:v>3.3815400000000002</c:v>
                </c:pt>
                <c:pt idx="6">
                  <c:v>4.3311310000000001</c:v>
                </c:pt>
                <c:pt idx="7">
                  <c:v>3.660917</c:v>
                </c:pt>
                <c:pt idx="8">
                  <c:v>3.222216</c:v>
                </c:pt>
                <c:pt idx="9">
                  <c:v>3.700164</c:v>
                </c:pt>
                <c:pt idx="10">
                  <c:v>2.8509319999999998</c:v>
                </c:pt>
              </c:numCache>
            </c:numRef>
          </c:yVal>
          <c:smooth val="0"/>
          <c:extLst>
            <c:ext xmlns:c16="http://schemas.microsoft.com/office/drawing/2014/chart" uri="{C3380CC4-5D6E-409C-BE32-E72D297353CC}">
              <c16:uniqueId val="{00000001-E6F1-9148-A57F-D123749F683E}"/>
            </c:ext>
          </c:extLst>
        </c:ser>
        <c:dLbls>
          <c:showLegendKey val="0"/>
          <c:showVal val="0"/>
          <c:showCatName val="0"/>
          <c:showSerName val="0"/>
          <c:showPercent val="0"/>
          <c:showBubbleSize val="0"/>
        </c:dLbls>
        <c:axId val="521449711"/>
        <c:axId val="497590655"/>
      </c:scatterChart>
      <c:valAx>
        <c:axId val="521449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590655"/>
        <c:crosses val="autoZero"/>
        <c:crossBetween val="midCat"/>
      </c:valAx>
      <c:valAx>
        <c:axId val="4975906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4497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Du</a:t>
            </a:r>
            <a:r>
              <a:rPr lang="en-US" baseline="0"/>
              <a:t> Pont ROE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ADI</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analysis'!$B$12:$L$12</c:f>
              <c:numCache>
                <c:formatCode>0.00%</c:formatCode>
                <c:ptCount val="11"/>
                <c:pt idx="0">
                  <c:v>9.3197459016167591E-2</c:v>
                </c:pt>
                <c:pt idx="1">
                  <c:v>7.537465114459567E-2</c:v>
                </c:pt>
                <c:pt idx="2">
                  <c:v>3.659723532055318E-2</c:v>
                </c:pt>
                <c:pt idx="3">
                  <c:v>0.10174750759400879</c:v>
                </c:pt>
                <c:pt idx="4">
                  <c:v>0.1161294873735053</c:v>
                </c:pt>
                <c:pt idx="5">
                  <c:v>0.1332133434586068</c:v>
                </c:pt>
                <c:pt idx="6">
                  <c:v>7.1349027804840592E-2</c:v>
                </c:pt>
                <c:pt idx="7">
                  <c:v>0.1668075339678621</c:v>
                </c:pt>
                <c:pt idx="8">
                  <c:v>0.13737110826245591</c:v>
                </c:pt>
                <c:pt idx="9">
                  <c:v>0.13226852115546009</c:v>
                </c:pt>
                <c:pt idx="10">
                  <c:v>0.14209857590636799</c:v>
                </c:pt>
              </c:numCache>
            </c:numRef>
          </c:yVal>
          <c:smooth val="0"/>
          <c:extLst>
            <c:ext xmlns:c16="http://schemas.microsoft.com/office/drawing/2014/chart" uri="{C3380CC4-5D6E-409C-BE32-E72D297353CC}">
              <c16:uniqueId val="{00000000-B977-7745-AF6D-15077A611095}"/>
            </c:ext>
          </c:extLst>
        </c:ser>
        <c:ser>
          <c:idx val="1"/>
          <c:order val="1"/>
          <c:tx>
            <c:v>NVDA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'Ratio analysis'!$B$1:$L$1</c:f>
              <c:numCache>
                <c:formatCode>General</c:formatCode>
                <c:ptCount val="11"/>
                <c:pt idx="0">
                  <c:v>2023</c:v>
                </c:pt>
                <c:pt idx="1">
                  <c:v>2022</c:v>
                </c:pt>
                <c:pt idx="2">
                  <c:v>2021</c:v>
                </c:pt>
                <c:pt idx="3">
                  <c:v>2020</c:v>
                </c:pt>
                <c:pt idx="4">
                  <c:v>2019</c:v>
                </c:pt>
                <c:pt idx="5">
                  <c:v>2018</c:v>
                </c:pt>
                <c:pt idx="6">
                  <c:v>2017</c:v>
                </c:pt>
                <c:pt idx="7">
                  <c:v>2016</c:v>
                </c:pt>
                <c:pt idx="8">
                  <c:v>2015</c:v>
                </c:pt>
                <c:pt idx="9">
                  <c:v>2014</c:v>
                </c:pt>
                <c:pt idx="10">
                  <c:v>2013</c:v>
                </c:pt>
              </c:numCache>
            </c:numRef>
          </c:xVal>
          <c:yVal>
            <c:numRef>
              <c:f>'Ratio analysis'!$B$19:$L$19</c:f>
              <c:numCache>
                <c:formatCode>0.00%</c:formatCode>
                <c:ptCount val="11"/>
                <c:pt idx="0">
                  <c:v>0.69244729861789756</c:v>
                </c:pt>
                <c:pt idx="1">
                  <c:v>0.19763811592235647</c:v>
                </c:pt>
                <c:pt idx="2">
                  <c:v>0.36645122501127303</c:v>
                </c:pt>
                <c:pt idx="3">
                  <c:v>0.25643757769490322</c:v>
                </c:pt>
                <c:pt idx="4">
                  <c:v>0.22910521140609635</c:v>
                </c:pt>
                <c:pt idx="5">
                  <c:v>0.44326696638835367</c:v>
                </c:pt>
                <c:pt idx="6">
                  <c:v>0.40784366216035334</c:v>
                </c:pt>
                <c:pt idx="7">
                  <c:v>0.2891357167650121</c:v>
                </c:pt>
                <c:pt idx="8">
                  <c:v>0.13739091519355562</c:v>
                </c:pt>
                <c:pt idx="9">
                  <c:v>0.14273190791632923</c:v>
                </c:pt>
                <c:pt idx="10">
                  <c:v>9.8732204798583953E-2</c:v>
                </c:pt>
              </c:numCache>
            </c:numRef>
          </c:yVal>
          <c:smooth val="0"/>
          <c:extLst>
            <c:ext xmlns:c16="http://schemas.microsoft.com/office/drawing/2014/chart" uri="{C3380CC4-5D6E-409C-BE32-E72D297353CC}">
              <c16:uniqueId val="{00000001-B977-7745-AF6D-15077A611095}"/>
            </c:ext>
          </c:extLst>
        </c:ser>
        <c:dLbls>
          <c:showLegendKey val="0"/>
          <c:showVal val="0"/>
          <c:showCatName val="0"/>
          <c:showSerName val="0"/>
          <c:showPercent val="0"/>
          <c:showBubbleSize val="0"/>
        </c:dLbls>
        <c:axId val="684608175"/>
        <c:axId val="684475551"/>
      </c:scatterChart>
      <c:valAx>
        <c:axId val="6846081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75551"/>
        <c:crosses val="autoZero"/>
        <c:crossBetween val="midCat"/>
      </c:valAx>
      <c:valAx>
        <c:axId val="684475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6081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24</xdr:col>
      <xdr:colOff>120766</xdr:colOff>
      <xdr:row>5</xdr:row>
      <xdr:rowOff>86264</xdr:rowOff>
    </xdr:from>
    <xdr:to>
      <xdr:col>28</xdr:col>
      <xdr:colOff>73061</xdr:colOff>
      <xdr:row>24</xdr:row>
      <xdr:rowOff>55116</xdr:rowOff>
    </xdr:to>
    <xdr:pic>
      <xdr:nvPicPr>
        <xdr:cNvPr id="2" name="Picture 1">
          <a:extLst>
            <a:ext uri="{FF2B5EF4-FFF2-40B4-BE49-F238E27FC236}">
              <a16:creationId xmlns:a16="http://schemas.microsoft.com/office/drawing/2014/main" id="{B5B190F6-CA9B-41D6-94AA-F1ED4CFD71EB}"/>
            </a:ext>
          </a:extLst>
        </xdr:cNvPr>
        <xdr:cNvPicPr>
          <a:picLocks noChangeAspect="1"/>
        </xdr:cNvPicPr>
      </xdr:nvPicPr>
      <xdr:blipFill>
        <a:blip xmlns:r="http://schemas.openxmlformats.org/officeDocument/2006/relationships" r:embed="rId1"/>
        <a:stretch>
          <a:fillRect/>
        </a:stretch>
      </xdr:blipFill>
      <xdr:spPr>
        <a:xfrm>
          <a:off x="22247521" y="948906"/>
          <a:ext cx="2954288" cy="31682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590550</xdr:colOff>
      <xdr:row>6</xdr:row>
      <xdr:rowOff>158750</xdr:rowOff>
    </xdr:from>
    <xdr:to>
      <xdr:col>19</xdr:col>
      <xdr:colOff>209550</xdr:colOff>
      <xdr:row>23</xdr:row>
      <xdr:rowOff>95250</xdr:rowOff>
    </xdr:to>
    <xdr:graphicFrame macro="">
      <xdr:nvGraphicFramePr>
        <xdr:cNvPr id="3" name="Chart 2">
          <a:extLst>
            <a:ext uri="{FF2B5EF4-FFF2-40B4-BE49-F238E27FC236}">
              <a16:creationId xmlns:a16="http://schemas.microsoft.com/office/drawing/2014/main" id="{8AF6F01E-9EC5-ECD5-D461-B1D42FD86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647700</xdr:colOff>
      <xdr:row>24</xdr:row>
      <xdr:rowOff>44450</xdr:rowOff>
    </xdr:from>
    <xdr:to>
      <xdr:col>19</xdr:col>
      <xdr:colOff>266700</xdr:colOff>
      <xdr:row>40</xdr:row>
      <xdr:rowOff>146050</xdr:rowOff>
    </xdr:to>
    <xdr:graphicFrame macro="">
      <xdr:nvGraphicFramePr>
        <xdr:cNvPr id="5" name="Chart 4">
          <a:extLst>
            <a:ext uri="{FF2B5EF4-FFF2-40B4-BE49-F238E27FC236}">
              <a16:creationId xmlns:a16="http://schemas.microsoft.com/office/drawing/2014/main" id="{94DD1355-E2EB-8761-CBDA-020CAE853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622300</xdr:colOff>
      <xdr:row>43</xdr:row>
      <xdr:rowOff>6350</xdr:rowOff>
    </xdr:from>
    <xdr:to>
      <xdr:col>19</xdr:col>
      <xdr:colOff>241300</xdr:colOff>
      <xdr:row>59</xdr:row>
      <xdr:rowOff>107950</xdr:rowOff>
    </xdr:to>
    <xdr:graphicFrame macro="">
      <xdr:nvGraphicFramePr>
        <xdr:cNvPr id="6" name="Chart 5">
          <a:extLst>
            <a:ext uri="{FF2B5EF4-FFF2-40B4-BE49-F238E27FC236}">
              <a16:creationId xmlns:a16="http://schemas.microsoft.com/office/drawing/2014/main" id="{6F1C2EDF-5BB5-D903-348A-345663CAB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584200</xdr:colOff>
      <xdr:row>60</xdr:row>
      <xdr:rowOff>107950</xdr:rowOff>
    </xdr:from>
    <xdr:to>
      <xdr:col>19</xdr:col>
      <xdr:colOff>203200</xdr:colOff>
      <xdr:row>77</xdr:row>
      <xdr:rowOff>44450</xdr:rowOff>
    </xdr:to>
    <xdr:graphicFrame macro="">
      <xdr:nvGraphicFramePr>
        <xdr:cNvPr id="7" name="Chart 6">
          <a:extLst>
            <a:ext uri="{FF2B5EF4-FFF2-40B4-BE49-F238E27FC236}">
              <a16:creationId xmlns:a16="http://schemas.microsoft.com/office/drawing/2014/main" id="{E7E69559-2AB4-532E-BC7E-170D6E65B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495300</xdr:colOff>
      <xdr:row>78</xdr:row>
      <xdr:rowOff>82550</xdr:rowOff>
    </xdr:from>
    <xdr:to>
      <xdr:col>19</xdr:col>
      <xdr:colOff>114300</xdr:colOff>
      <xdr:row>95</xdr:row>
      <xdr:rowOff>19050</xdr:rowOff>
    </xdr:to>
    <xdr:graphicFrame macro="">
      <xdr:nvGraphicFramePr>
        <xdr:cNvPr id="8" name="Chart 7">
          <a:extLst>
            <a:ext uri="{FF2B5EF4-FFF2-40B4-BE49-F238E27FC236}">
              <a16:creationId xmlns:a16="http://schemas.microsoft.com/office/drawing/2014/main" id="{F345F665-A6ED-CF0D-E704-72CCD47E4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520700</xdr:colOff>
      <xdr:row>96</xdr:row>
      <xdr:rowOff>44450</xdr:rowOff>
    </xdr:from>
    <xdr:to>
      <xdr:col>19</xdr:col>
      <xdr:colOff>139700</xdr:colOff>
      <xdr:row>112</xdr:row>
      <xdr:rowOff>146050</xdr:rowOff>
    </xdr:to>
    <xdr:graphicFrame macro="">
      <xdr:nvGraphicFramePr>
        <xdr:cNvPr id="9" name="Chart 8">
          <a:extLst>
            <a:ext uri="{FF2B5EF4-FFF2-40B4-BE49-F238E27FC236}">
              <a16:creationId xmlns:a16="http://schemas.microsoft.com/office/drawing/2014/main" id="{97FC5983-F88D-8374-1536-CB8B0FD4A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723900</xdr:colOff>
      <xdr:row>22</xdr:row>
      <xdr:rowOff>120650</xdr:rowOff>
    </xdr:from>
    <xdr:to>
      <xdr:col>12</xdr:col>
      <xdr:colOff>342900</xdr:colOff>
      <xdr:row>39</xdr:row>
      <xdr:rowOff>57150</xdr:rowOff>
    </xdr:to>
    <xdr:graphicFrame macro="">
      <xdr:nvGraphicFramePr>
        <xdr:cNvPr id="10" name="Chart 9">
          <a:extLst>
            <a:ext uri="{FF2B5EF4-FFF2-40B4-BE49-F238E27FC236}">
              <a16:creationId xmlns:a16="http://schemas.microsoft.com/office/drawing/2014/main" id="{9F3AFF1F-FC6C-DB81-9F38-7125D65F7E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723900</xdr:colOff>
      <xdr:row>40</xdr:row>
      <xdr:rowOff>95250</xdr:rowOff>
    </xdr:from>
    <xdr:to>
      <xdr:col>12</xdr:col>
      <xdr:colOff>342900</xdr:colOff>
      <xdr:row>57</xdr:row>
      <xdr:rowOff>31750</xdr:rowOff>
    </xdr:to>
    <xdr:graphicFrame macro="">
      <xdr:nvGraphicFramePr>
        <xdr:cNvPr id="12" name="Chart 11">
          <a:extLst>
            <a:ext uri="{FF2B5EF4-FFF2-40B4-BE49-F238E27FC236}">
              <a16:creationId xmlns:a16="http://schemas.microsoft.com/office/drawing/2014/main" id="{264AEC22-E1B9-C64D-D768-4C1AA4122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355600</xdr:colOff>
      <xdr:row>57</xdr:row>
      <xdr:rowOff>69850</xdr:rowOff>
    </xdr:from>
    <xdr:to>
      <xdr:col>11</xdr:col>
      <xdr:colOff>800100</xdr:colOff>
      <xdr:row>74</xdr:row>
      <xdr:rowOff>6350</xdr:rowOff>
    </xdr:to>
    <xdr:graphicFrame macro="">
      <xdr:nvGraphicFramePr>
        <xdr:cNvPr id="13" name="Chart 12">
          <a:extLst>
            <a:ext uri="{FF2B5EF4-FFF2-40B4-BE49-F238E27FC236}">
              <a16:creationId xmlns:a16="http://schemas.microsoft.com/office/drawing/2014/main" id="{E95AAEC1-5EBE-96C9-A716-2480411971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539750</xdr:colOff>
      <xdr:row>76</xdr:row>
      <xdr:rowOff>6350</xdr:rowOff>
    </xdr:from>
    <xdr:to>
      <xdr:col>11</xdr:col>
      <xdr:colOff>158750</xdr:colOff>
      <xdr:row>92</xdr:row>
      <xdr:rowOff>107950</xdr:rowOff>
    </xdr:to>
    <xdr:graphicFrame macro="">
      <xdr:nvGraphicFramePr>
        <xdr:cNvPr id="14" name="Chart 13">
          <a:extLst>
            <a:ext uri="{FF2B5EF4-FFF2-40B4-BE49-F238E27FC236}">
              <a16:creationId xmlns:a16="http://schemas.microsoft.com/office/drawing/2014/main" id="{8D0441B6-359E-3D81-078B-08B05E85C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768350</xdr:colOff>
      <xdr:row>95</xdr:row>
      <xdr:rowOff>44450</xdr:rowOff>
    </xdr:from>
    <xdr:to>
      <xdr:col>11</xdr:col>
      <xdr:colOff>387350</xdr:colOff>
      <xdr:row>111</xdr:row>
      <xdr:rowOff>146050</xdr:rowOff>
    </xdr:to>
    <xdr:graphicFrame macro="">
      <xdr:nvGraphicFramePr>
        <xdr:cNvPr id="15" name="Chart 14">
          <a:extLst>
            <a:ext uri="{FF2B5EF4-FFF2-40B4-BE49-F238E27FC236}">
              <a16:creationId xmlns:a16="http://schemas.microsoft.com/office/drawing/2014/main" id="{8455C21D-378D-CC7A-C1AF-04308E3DD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https://www.bing.com/financeapi/forcetrigger?t=a1mvjc&amp;q=XNAS%3aADI&amp;form=skydnc</v>
    <v>Learn more on Bing</v>
  </rv>
  <rv s="1">
    <v>en-US</v>
    <v>a1mvjc</v>
    <v>268435456</v>
    <v>1</v>
    <v>Powered by Refinitiv</v>
    <v>0</v>
    <v>ANALOG DEVICES, INC. (XNAS:ADI)</v>
    <v>2</v>
    <v>3</v>
    <v>Finance</v>
    <v>4</v>
    <v>247.1</v>
    <v>158.65</v>
    <v>1.0139</v>
    <v>1.01</v>
    <v>4.2559999999999994E-3</v>
    <v>USD</v>
    <v>Analog Devices, Inc. is a global semiconductor company. The Company designs, manufactures, tests, and markets a portfolio of solutions, including integrated circuits (ICs), software and subsystems that leverage high-performance analog, mixed-signal and digital signal processing technologies. Its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Company's IC product portfolio includes both general-purpose products used by a range of customers and applications, as well as application-specific products designed for specific target markets. Its analog ICs monitor, condition, amplify or transform continuous analog signals associated with physical properties, such as temperature, pressure, weight, light, sound or motion.</v>
    <v>24000</v>
    <v>Nasdaq Stock Market</v>
    <v>XNAS</v>
    <v>XNAS</v>
    <v>One Analog Way, WILMINGTON, MA, 01887 US</v>
    <v>239.0659</v>
    <v>Semiconductors &amp; Semiconductor Equipment</v>
    <v>Stock</v>
    <v>45835.596057094532</v>
    <v>0</v>
    <v>236.72499999999999</v>
    <v>118260908542</v>
    <v>ANALOG DEVICES, INC.</v>
    <v>ANALOG DEVICES, INC.</v>
    <v>237</v>
    <v>65.016099999999994</v>
    <v>237.3</v>
    <v>238.31</v>
    <v>496248200</v>
    <v>ADI</v>
    <v>ANALOG DEVICES, INC. (XNAS:ADI)</v>
    <v>215447</v>
    <v>4182252</v>
    <v>1965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26" Type="http://schemas.openxmlformats.org/officeDocument/2006/relationships/hyperlink" Target="https://my.apps.factset.com/cpe-built-apps-server/fma-audit-report/index.html?_calendar=FIVEDAY&amp;_index=3&amp;_query=Rk1BX0xURF9BU1NFVFMoJ0xUTScsJzAnLCctMTAnLCdDWScsJ0xPQ0FMJywnUE9SVEFHRycsJ01FQU5SJyk7&amp;_ticker=FI1305US&amp;display_string=audit&amp;HEIGHT=800&amp;WIDTH=1200&amp;WINDOW=POPUP" TargetMode="External"/><Relationship Id="rId21" Type="http://schemas.openxmlformats.org/officeDocument/2006/relationships/hyperlink" Target="https://my.apps.factset.com/cpe-built-apps-server/fma-audit-report/index.html?_calendar=FIVEDAY&amp;_index=9&amp;_query=Rk1BX0xURF9UQ0FQKCdMVE0nLCcwJywnLTEwJywnQ1knLCdQT1JUQUdHJyk7&amp;_ticker=FI1305US&amp;display_string=audit&amp;HEIGHT=800&amp;WIDTH=1200&amp;WINDOW=POPUP" TargetMode="External"/><Relationship Id="rId42" Type="http://schemas.openxmlformats.org/officeDocument/2006/relationships/hyperlink" Target="https://my.apps.factset.com/cpe-built-apps-server/fma-audit-report/index.html?_calendar=FIVEDAY&amp;_index=8&amp;_query=Rk1BX0RFQlRfQVNTRVRTKCdMVE0nLCcwJywnLTEwJywnQ1knLCdQT1JUQUdHJyk7&amp;_ticker=FI1305US&amp;display_string=audit&amp;HEIGHT=800&amp;WIDTH=1200&amp;WINDOW=POPUP" TargetMode="External"/><Relationship Id="rId47" Type="http://schemas.openxmlformats.org/officeDocument/2006/relationships/hyperlink" Target="https://my.apps.factset.com/cpe-built-apps-server/fma-audit-report/index.html?_calendar=FIVEDAY&amp;_index=2&amp;_query=Rk1BX0RFQlRfRVEoJ0xUTScsJzAnLCctMTAnLCdDWScsJ1BPUlRBR0cnKTs=&amp;_ticker=FI1305US&amp;display_string=audit&amp;HEIGHT=800&amp;WIDTH=1200&amp;WINDOW=POPUP" TargetMode="External"/><Relationship Id="rId63" Type="http://schemas.openxmlformats.org/officeDocument/2006/relationships/hyperlink" Target="https://my.apps.factset.com/cpe-built-apps-server/fma-audit-report/index.html?_calendar=FIVEDAY&amp;_index=7&amp;_query=Rk1BX05ERUJUX1RDQVAoJ0xUTScsJzAnLCctMTAnLCdDWScsJ0xPQ0FMJywnUE9SVEFHRycsJ01FQU5SJyk7&amp;_ticker=FI1305US&amp;display_string=audit&amp;HEIGHT=800&amp;WIDTH=1200&amp;WINDOW=POPUP" TargetMode="External"/><Relationship Id="rId68" Type="http://schemas.openxmlformats.org/officeDocument/2006/relationships/hyperlink" Target="https://my.apps.factset.com/cpe-built-apps-server/fma-audit-report/index.html?_calendar=FIVEDAY&amp;_index=1&amp;_query=Rk1BX0RFQlRfVENBUCgnTFRNJywnMCcsJy0xMCcsJ0NZJywnUE9SVEFHRycpOw==&amp;_ticker=FI1305US&amp;display_string=audit&amp;HEIGHT=800&amp;WIDTH=1200&amp;WINDOW=POPUP" TargetMode="External"/><Relationship Id="rId16" Type="http://schemas.openxmlformats.org/officeDocument/2006/relationships/hyperlink" Target="https://my.apps.factset.com/cpe-built-apps-server/fma-audit-report/index.html?_calendar=FIVEDAY&amp;_index=4&amp;_query=Rk1BX0xURF9UQ0FQKCdMVE0nLCcwJywnLTEwJywnQ1knLCdQT1JUQUdHJyk7&amp;_ticker=FI1305US&amp;display_string=audit&amp;HEIGHT=800&amp;WIDTH=1200&amp;WINDOW=POPUP" TargetMode="External"/><Relationship Id="rId11" Type="http://schemas.openxmlformats.org/officeDocument/2006/relationships/hyperlink" Target="https://my.apps.factset.com/cpe-built-apps-server/fma-audit-report/index.html?_calendar=FIVEDAY&amp;_index=10&amp;_query=Rk1BX0xURF9FUSgnTFRNJywnMCcsJy0xMCcsJ0NZJywnTE9DQUwnLCdQT1JUQUdHJywnTUVBTlInKTs=&amp;_ticker=FI1305US&amp;display_string=audit&amp;HEIGHT=800&amp;WIDTH=1200&amp;WINDOW=POPUP" TargetMode="External"/><Relationship Id="rId24" Type="http://schemas.openxmlformats.org/officeDocument/2006/relationships/hyperlink" Target="https://my.apps.factset.com/cpe-built-apps-server/fma-audit-report/index.html?_calendar=FIVEDAY&amp;_index=1&amp;_query=Rk1BX0xURF9BU1NFVFMoJ0xUTScsJzAnLCctMTAnLCdDWScsJ0xPQ0FMJywnUE9SVEFHRycsJ01FQU5SJyk7&amp;_ticker=FI1305US&amp;display_string=audit&amp;HEIGHT=800&amp;WIDTH=1200&amp;WINDOW=POPUP" TargetMode="External"/><Relationship Id="rId32" Type="http://schemas.openxmlformats.org/officeDocument/2006/relationships/hyperlink" Target="https://my.apps.factset.com/cpe-built-apps-server/fma-audit-report/index.html?_calendar=FIVEDAY&amp;_index=9&amp;_query=Rk1BX0xURF9BU1NFVFMoJ0xUTScsJzAnLCctMTAnLCdDWScsJ0xPQ0FMJywnUE9SVEFHRycsJ01FQU5SJyk7&amp;_ticker=FI1305US&amp;display_string=audit&amp;HEIGHT=800&amp;WIDTH=1200&amp;WINDOW=POPUP" TargetMode="External"/><Relationship Id="rId37" Type="http://schemas.openxmlformats.org/officeDocument/2006/relationships/hyperlink" Target="https://my.apps.factset.com/cpe-built-apps-server/fma-audit-report/index.html?_calendar=FIVEDAY&amp;_index=3&amp;_query=Rk1BX0RFQlRfQVNTRVRTKCdMVE0nLCcwJywnLTEwJywnQ1knLCdQT1JUQUdHJyk7&amp;_ticker=FI1305US&amp;display_string=audit&amp;HEIGHT=800&amp;WIDTH=1200&amp;WINDOW=POPUP" TargetMode="External"/><Relationship Id="rId40" Type="http://schemas.openxmlformats.org/officeDocument/2006/relationships/hyperlink" Target="https://my.apps.factset.com/cpe-built-apps-server/fma-audit-report/index.html?_calendar=FIVEDAY&amp;_index=6&amp;_query=Rk1BX0RFQlRfQVNTRVRTKCdMVE0nLCcwJywnLTEwJywnQ1knLCdQT1JUQUdHJyk7&amp;_ticker=FI1305US&amp;display_string=audit&amp;HEIGHT=800&amp;WIDTH=1200&amp;WINDOW=POPUP" TargetMode="External"/><Relationship Id="rId45" Type="http://schemas.openxmlformats.org/officeDocument/2006/relationships/hyperlink" Target="https://my.apps.factset.com/cpe-built-apps-server/fma-audit-report/index.html?_calendar=FIVEDAY&amp;_index=0&amp;_query=Rk1BX0RFQlRfRVEoJ0xUTScsJzAnLCctMTAnLCdDWScsJ1BPUlRBR0cnKTs=&amp;_ticker=FI1305US&amp;display_string=audit&amp;HEIGHT=800&amp;WIDTH=1200&amp;WINDOW=POPUP" TargetMode="External"/><Relationship Id="rId53" Type="http://schemas.openxmlformats.org/officeDocument/2006/relationships/hyperlink" Target="https://my.apps.factset.com/cpe-built-apps-server/fma-audit-report/index.html?_calendar=FIVEDAY&amp;_index=8&amp;_query=Rk1BX0RFQlRfRVEoJ0xUTScsJzAnLCctMTAnLCdDWScsJ1BPUlRBR0cnKTs=&amp;_ticker=FI1305US&amp;display_string=audit&amp;HEIGHT=800&amp;WIDTH=1200&amp;WINDOW=POPUP" TargetMode="External"/><Relationship Id="rId58" Type="http://schemas.openxmlformats.org/officeDocument/2006/relationships/hyperlink" Target="https://my.apps.factset.com/cpe-built-apps-server/fma-audit-report/index.html?_calendar=FIVEDAY&amp;_index=2&amp;_query=Rk1BX05ERUJUX1RDQVAoJ0xUTScsJzAnLCctMTAnLCdDWScsJ0xPQ0FMJywnUE9SVEFHRycsJ01FQU5SJyk7&amp;_ticker=FI1305US&amp;display_string=audit&amp;HEIGHT=800&amp;WIDTH=1200&amp;WINDOW=POPUP" TargetMode="External"/><Relationship Id="rId66" Type="http://schemas.openxmlformats.org/officeDocument/2006/relationships/hyperlink" Target="https://my.apps.factset.com/cpe-built-apps-server/fma-audit-report/index.html?_calendar=FIVEDAY&amp;_index=10&amp;_query=Rk1BX05ERUJUX1RDQVAoJ0xUTScsJzAnLCctMTAnLCdDWScsJ0xPQ0FMJywnUE9SVEFHRycsJ01FQU5SJyk7&amp;_ticker=FI1305US&amp;display_string=audit&amp;HEIGHT=800&amp;WIDTH=1200&amp;WINDOW=POPUP" TargetMode="External"/><Relationship Id="rId74" Type="http://schemas.openxmlformats.org/officeDocument/2006/relationships/hyperlink" Target="https://my.apps.factset.com/cpe-built-apps-server/fma-audit-report/index.html?_calendar=FIVEDAY&amp;_index=7&amp;_query=Rk1BX0RFQlRfVENBUCgnTFRNJywnMCcsJy0xMCcsJ0NZJywnUE9SVEFHRycpOw==&amp;_ticker=FI1305US&amp;display_string=audit&amp;HEIGHT=800&amp;WIDTH=1200&amp;WINDOW=POPUP" TargetMode="External"/><Relationship Id="rId5" Type="http://schemas.openxmlformats.org/officeDocument/2006/relationships/hyperlink" Target="https://my.apps.factset.com/cpe-built-apps-server/fma-audit-report/index.html?_calendar=FIVEDAY&amp;_index=4&amp;_query=Rk1BX0xURF9FUSgnTFRNJywnMCcsJy0xMCcsJ0NZJywnTE9DQUwnLCdQT1JUQUdHJywnTUVBTlInKTs=&amp;_ticker=FI1305US&amp;display_string=audit&amp;HEIGHT=800&amp;WIDTH=1200&amp;WINDOW=POPUP" TargetMode="External"/><Relationship Id="rId61" Type="http://schemas.openxmlformats.org/officeDocument/2006/relationships/hyperlink" Target="https://my.apps.factset.com/cpe-built-apps-server/fma-audit-report/index.html?_calendar=FIVEDAY&amp;_index=5&amp;_query=Rk1BX05ERUJUX1RDQVAoJ0xUTScsJzAnLCctMTAnLCdDWScsJ0xPQ0FMJywnUE9SVEFHRycsJ01FQU5SJyk7&amp;_ticker=FI1305US&amp;display_string=audit&amp;HEIGHT=800&amp;WIDTH=1200&amp;WINDOW=POPUP" TargetMode="External"/><Relationship Id="rId19" Type="http://schemas.openxmlformats.org/officeDocument/2006/relationships/hyperlink" Target="https://my.apps.factset.com/cpe-built-apps-server/fma-audit-report/index.html?_calendar=FIVEDAY&amp;_index=7&amp;_query=Rk1BX0xURF9UQ0FQKCdMVE0nLCcwJywnLTEwJywnQ1knLCdQT1JUQUdHJyk7&amp;_ticker=FI1305US&amp;display_string=audit&amp;HEIGHT=800&amp;WIDTH=1200&amp;WINDOW=POPUP" TargetMode="External"/><Relationship Id="rId14" Type="http://schemas.openxmlformats.org/officeDocument/2006/relationships/hyperlink" Target="https://my.apps.factset.com/cpe-built-apps-server/fma-audit-report/index.html?_calendar=FIVEDAY&amp;_index=2&amp;_query=Rk1BX0xURF9UQ0FQKCdMVE0nLCcwJywnLTEwJywnQ1knLCdQT1JUQUdHJyk7&amp;_ticker=FI1305US&amp;display_string=audit&amp;HEIGHT=800&amp;WIDTH=1200&amp;WINDOW=POPUP" TargetMode="External"/><Relationship Id="rId22" Type="http://schemas.openxmlformats.org/officeDocument/2006/relationships/hyperlink" Target="https://my.apps.factset.com/cpe-built-apps-server/fma-audit-report/index.html?_calendar=FIVEDAY&amp;_index=10&amp;_query=Rk1BX0xURF9UQ0FQKCdMVE0nLCcwJywnLTEwJywnQ1knLCdQT1JUQUdHJyk7&amp;_ticker=FI1305US&amp;display_string=audit&amp;HEIGHT=800&amp;WIDTH=1200&amp;WINDOW=POPUP" TargetMode="External"/><Relationship Id="rId27" Type="http://schemas.openxmlformats.org/officeDocument/2006/relationships/hyperlink" Target="https://my.apps.factset.com/cpe-built-apps-server/fma-audit-report/index.html?_calendar=FIVEDAY&amp;_index=4&amp;_query=Rk1BX0xURF9BU1NFVFMoJ0xUTScsJzAnLCctMTAnLCdDWScsJ0xPQ0FMJywnUE9SVEFHRycsJ01FQU5SJyk7&amp;_ticker=FI1305US&amp;display_string=audit&amp;HEIGHT=800&amp;WIDTH=1200&amp;WINDOW=POPUP" TargetMode="External"/><Relationship Id="rId30" Type="http://schemas.openxmlformats.org/officeDocument/2006/relationships/hyperlink" Target="https://my.apps.factset.com/cpe-built-apps-server/fma-audit-report/index.html?_calendar=FIVEDAY&amp;_index=7&amp;_query=Rk1BX0xURF9BU1NFVFMoJ0xUTScsJzAnLCctMTAnLCdDWScsJ0xPQ0FMJywnUE9SVEFHRycsJ01FQU5SJyk7&amp;_ticker=FI1305US&amp;display_string=audit&amp;HEIGHT=800&amp;WIDTH=1200&amp;WINDOW=POPUP" TargetMode="External"/><Relationship Id="rId35" Type="http://schemas.openxmlformats.org/officeDocument/2006/relationships/hyperlink" Target="https://my.apps.factset.com/cpe-built-apps-server/fma-audit-report/index.html?_calendar=FIVEDAY&amp;_index=1&amp;_query=Rk1BX0RFQlRfQVNTRVRTKCdMVE0nLCcwJywnLTEwJywnQ1knLCdQT1JUQUdHJyk7&amp;_ticker=FI1305US&amp;display_string=audit&amp;HEIGHT=800&amp;WIDTH=1200&amp;WINDOW=POPUP" TargetMode="External"/><Relationship Id="rId43" Type="http://schemas.openxmlformats.org/officeDocument/2006/relationships/hyperlink" Target="https://my.apps.factset.com/cpe-built-apps-server/fma-audit-report/index.html?_calendar=FIVEDAY&amp;_index=9&amp;_query=Rk1BX0RFQlRfQVNTRVRTKCdMVE0nLCcwJywnLTEwJywnQ1knLCdQT1JUQUdHJyk7&amp;_ticker=FI1305US&amp;display_string=audit&amp;HEIGHT=800&amp;WIDTH=1200&amp;WINDOW=POPUP" TargetMode="External"/><Relationship Id="rId48" Type="http://schemas.openxmlformats.org/officeDocument/2006/relationships/hyperlink" Target="https://my.apps.factset.com/cpe-built-apps-server/fma-audit-report/index.html?_calendar=FIVEDAY&amp;_index=3&amp;_query=Rk1BX0RFQlRfRVEoJ0xUTScsJzAnLCctMTAnLCdDWScsJ1BPUlRBR0cnKTs=&amp;_ticker=FI1305US&amp;display_string=audit&amp;HEIGHT=800&amp;WIDTH=1200&amp;WINDOW=POPUP" TargetMode="External"/><Relationship Id="rId56" Type="http://schemas.openxmlformats.org/officeDocument/2006/relationships/hyperlink" Target="https://my.apps.factset.com/cpe-built-apps-server/fma-audit-report/index.html?_calendar=FIVEDAY&amp;_index=0&amp;_query=Rk1BX05ERUJUX1RDQVAoJ0xUTScsJzAnLCctMTAnLCdDWScsJ0xPQ0FMJywnUE9SVEFHRycsJ01FQU5SJyk7&amp;_ticker=FI1305US&amp;display_string=audit&amp;HEIGHT=800&amp;WIDTH=1200&amp;WINDOW=POPUP" TargetMode="External"/><Relationship Id="rId64" Type="http://schemas.openxmlformats.org/officeDocument/2006/relationships/hyperlink" Target="https://my.apps.factset.com/cpe-built-apps-server/fma-audit-report/index.html?_calendar=FIVEDAY&amp;_index=8&amp;_query=Rk1BX05ERUJUX1RDQVAoJ0xUTScsJzAnLCctMTAnLCdDWScsJ0xPQ0FMJywnUE9SVEFHRycsJ01FQU5SJyk7&amp;_ticker=FI1305US&amp;display_string=audit&amp;HEIGHT=800&amp;WIDTH=1200&amp;WINDOW=POPUP" TargetMode="External"/><Relationship Id="rId69" Type="http://schemas.openxmlformats.org/officeDocument/2006/relationships/hyperlink" Target="https://my.apps.factset.com/cpe-built-apps-server/fma-audit-report/index.html?_calendar=FIVEDAY&amp;_index=2&amp;_query=Rk1BX0RFQlRfVENBUCgnTFRNJywnMCcsJy0xMCcsJ0NZJywnUE9SVEFHRycpOw==&amp;_ticker=FI1305US&amp;display_string=audit&amp;HEIGHT=800&amp;WIDTH=1200&amp;WINDOW=POPUP" TargetMode="External"/><Relationship Id="rId77" Type="http://schemas.openxmlformats.org/officeDocument/2006/relationships/hyperlink" Target="https://my.apps.factset.com/cpe-built-apps-server/fma-audit-report/index.html?_calendar=FIVEDAY&amp;_index=10&amp;_query=Rk1BX0RFQlRfVENBUCgnTFRNJywnMCcsJy0xMCcsJ0NZJywnUE9SVEFHRycpOw==&amp;_ticker=FI1305US&amp;display_string=audit&amp;HEIGHT=800&amp;WIDTH=1200&amp;WINDOW=POPUP" TargetMode="External"/><Relationship Id="rId8" Type="http://schemas.openxmlformats.org/officeDocument/2006/relationships/hyperlink" Target="https://my.apps.factset.com/cpe-built-apps-server/fma-audit-report/index.html?_calendar=FIVEDAY&amp;_index=7&amp;_query=Rk1BX0xURF9FUSgnTFRNJywnMCcsJy0xMCcsJ0NZJywnTE9DQUwnLCdQT1JUQUdHJywnTUVBTlInKTs=&amp;_ticker=FI1305US&amp;display_string=audit&amp;HEIGHT=800&amp;WIDTH=1200&amp;WINDOW=POPUP" TargetMode="External"/><Relationship Id="rId51" Type="http://schemas.openxmlformats.org/officeDocument/2006/relationships/hyperlink" Target="https://my.apps.factset.com/cpe-built-apps-server/fma-audit-report/index.html?_calendar=FIVEDAY&amp;_index=6&amp;_query=Rk1BX0RFQlRfRVEoJ0xUTScsJzAnLCctMTAnLCdDWScsJ1BPUlRBR0cnKTs=&amp;_ticker=FI1305US&amp;display_string=audit&amp;HEIGHT=800&amp;WIDTH=1200&amp;WINDOW=POPUP" TargetMode="External"/><Relationship Id="rId72" Type="http://schemas.openxmlformats.org/officeDocument/2006/relationships/hyperlink" Target="https://my.apps.factset.com/cpe-built-apps-server/fma-audit-report/index.html?_calendar=FIVEDAY&amp;_index=5&amp;_query=Rk1BX0RFQlRfVENBUCgnTFRNJywnMCcsJy0xMCcsJ0NZJywnUE9SVEFHRycpOw==&amp;_ticker=FI1305US&amp;display_string=audit&amp;HEIGHT=800&amp;WIDTH=1200&amp;WINDOW=POPUP" TargetMode="External"/><Relationship Id="rId3" Type="http://schemas.openxmlformats.org/officeDocument/2006/relationships/hyperlink" Target="https://my.apps.factset.com/cpe-built-apps-server/fma-audit-report/index.html?_calendar=FIVEDAY&amp;_index=2&amp;_query=Rk1BX0xURF9FUSgnTFRNJywnMCcsJy0xMCcsJ0NZJywnTE9DQUwnLCdQT1JUQUdHJywnTUVBTlInKTs=&amp;_ticker=FI1305US&amp;display_string=audit&amp;HEIGHT=800&amp;WIDTH=1200&amp;WINDOW=POPUP" TargetMode="External"/><Relationship Id="rId12" Type="http://schemas.openxmlformats.org/officeDocument/2006/relationships/hyperlink" Target="https://my.apps.factset.com/cpe-built-apps-server/fma-audit-report/index.html?_calendar=FIVEDAY&amp;_index=0&amp;_query=Rk1BX0xURF9UQ0FQKCdMVE0nLCcwJywnLTEwJywnQ1knLCdQT1JUQUdHJyk7&amp;_ticker=FI1305US&amp;display_string=audit&amp;HEIGHT=800&amp;WIDTH=1200&amp;WINDOW=POPUP" TargetMode="External"/><Relationship Id="rId17" Type="http://schemas.openxmlformats.org/officeDocument/2006/relationships/hyperlink" Target="https://my.apps.factset.com/cpe-built-apps-server/fma-audit-report/index.html?_calendar=FIVEDAY&amp;_index=5&amp;_query=Rk1BX0xURF9UQ0FQKCdMVE0nLCcwJywnLTEwJywnQ1knLCdQT1JUQUdHJyk7&amp;_ticker=FI1305US&amp;display_string=audit&amp;HEIGHT=800&amp;WIDTH=1200&amp;WINDOW=POPUP" TargetMode="External"/><Relationship Id="rId25" Type="http://schemas.openxmlformats.org/officeDocument/2006/relationships/hyperlink" Target="https://my.apps.factset.com/cpe-built-apps-server/fma-audit-report/index.html?_calendar=FIVEDAY&amp;_index=2&amp;_query=Rk1BX0xURF9BU1NFVFMoJ0xUTScsJzAnLCctMTAnLCdDWScsJ0xPQ0FMJywnUE9SVEFHRycsJ01FQU5SJyk7&amp;_ticker=FI1305US&amp;display_string=audit&amp;HEIGHT=800&amp;WIDTH=1200&amp;WINDOW=POPUP" TargetMode="External"/><Relationship Id="rId33" Type="http://schemas.openxmlformats.org/officeDocument/2006/relationships/hyperlink" Target="https://my.apps.factset.com/cpe-built-apps-server/fma-audit-report/index.html?_calendar=FIVEDAY&amp;_index=10&amp;_query=Rk1BX0xURF9BU1NFVFMoJ0xUTScsJzAnLCctMTAnLCdDWScsJ0xPQ0FMJywnUE9SVEFHRycsJ01FQU5SJyk7&amp;_ticker=FI1305US&amp;display_string=audit&amp;HEIGHT=800&amp;WIDTH=1200&amp;WINDOW=POPUP" TargetMode="External"/><Relationship Id="rId38" Type="http://schemas.openxmlformats.org/officeDocument/2006/relationships/hyperlink" Target="https://my.apps.factset.com/cpe-built-apps-server/fma-audit-report/index.html?_calendar=FIVEDAY&amp;_index=4&amp;_query=Rk1BX0RFQlRfQVNTRVRTKCdMVE0nLCcwJywnLTEwJywnQ1knLCdQT1JUQUdHJyk7&amp;_ticker=FI1305US&amp;display_string=audit&amp;HEIGHT=800&amp;WIDTH=1200&amp;WINDOW=POPUP" TargetMode="External"/><Relationship Id="rId46" Type="http://schemas.openxmlformats.org/officeDocument/2006/relationships/hyperlink" Target="https://my.apps.factset.com/cpe-built-apps-server/fma-audit-report/index.html?_calendar=FIVEDAY&amp;_index=1&amp;_query=Rk1BX0RFQlRfRVEoJ0xUTScsJzAnLCctMTAnLCdDWScsJ1BPUlRBR0cnKTs=&amp;_ticker=FI1305US&amp;display_string=audit&amp;HEIGHT=800&amp;WIDTH=1200&amp;WINDOW=POPUP" TargetMode="External"/><Relationship Id="rId59" Type="http://schemas.openxmlformats.org/officeDocument/2006/relationships/hyperlink" Target="https://my.apps.factset.com/cpe-built-apps-server/fma-audit-report/index.html?_calendar=FIVEDAY&amp;_index=3&amp;_query=Rk1BX05ERUJUX1RDQVAoJ0xUTScsJzAnLCctMTAnLCdDWScsJ0xPQ0FMJywnUE9SVEFHRycsJ01FQU5SJyk7&amp;_ticker=FI1305US&amp;display_string=audit&amp;HEIGHT=800&amp;WIDTH=1200&amp;WINDOW=POPUP" TargetMode="External"/><Relationship Id="rId67" Type="http://schemas.openxmlformats.org/officeDocument/2006/relationships/hyperlink" Target="https://my.apps.factset.com/cpe-built-apps-server/fma-audit-report/index.html?_calendar=FIVEDAY&amp;_index=0&amp;_query=Rk1BX0RFQlRfVENBUCgnTFRNJywnMCcsJy0xMCcsJ0NZJywnUE9SVEFHRycpOw==&amp;_ticker=FI1305US&amp;display_string=audit&amp;HEIGHT=800&amp;WIDTH=1200&amp;WINDOW=POPUP" TargetMode="External"/><Relationship Id="rId20" Type="http://schemas.openxmlformats.org/officeDocument/2006/relationships/hyperlink" Target="https://my.apps.factset.com/cpe-built-apps-server/fma-audit-report/index.html?_calendar=FIVEDAY&amp;_index=8&amp;_query=Rk1BX0xURF9UQ0FQKCdMVE0nLCcwJywnLTEwJywnQ1knLCdQT1JUQUdHJyk7&amp;_ticker=FI1305US&amp;display_string=audit&amp;HEIGHT=800&amp;WIDTH=1200&amp;WINDOW=POPUP" TargetMode="External"/><Relationship Id="rId41" Type="http://schemas.openxmlformats.org/officeDocument/2006/relationships/hyperlink" Target="https://my.apps.factset.com/cpe-built-apps-server/fma-audit-report/index.html?_calendar=FIVEDAY&amp;_index=7&amp;_query=Rk1BX0RFQlRfQVNTRVRTKCdMVE0nLCcwJywnLTEwJywnQ1knLCdQT1JUQUdHJyk7&amp;_ticker=FI1305US&amp;display_string=audit&amp;HEIGHT=800&amp;WIDTH=1200&amp;WINDOW=POPUP" TargetMode="External"/><Relationship Id="rId54" Type="http://schemas.openxmlformats.org/officeDocument/2006/relationships/hyperlink" Target="https://my.apps.factset.com/cpe-built-apps-server/fma-audit-report/index.html?_calendar=FIVEDAY&amp;_index=9&amp;_query=Rk1BX0RFQlRfRVEoJ0xUTScsJzAnLCctMTAnLCdDWScsJ1BPUlRBR0cnKTs=&amp;_ticker=FI1305US&amp;display_string=audit&amp;HEIGHT=800&amp;WIDTH=1200&amp;WINDOW=POPUP" TargetMode="External"/><Relationship Id="rId62" Type="http://schemas.openxmlformats.org/officeDocument/2006/relationships/hyperlink" Target="https://my.apps.factset.com/cpe-built-apps-server/fma-audit-report/index.html?_calendar=FIVEDAY&amp;_index=6&amp;_query=Rk1BX05ERUJUX1RDQVAoJ0xUTScsJzAnLCctMTAnLCdDWScsJ0xPQ0FMJywnUE9SVEFHRycsJ01FQU5SJyk7&amp;_ticker=FI1305US&amp;display_string=audit&amp;HEIGHT=800&amp;WIDTH=1200&amp;WINDOW=POPUP" TargetMode="External"/><Relationship Id="rId70" Type="http://schemas.openxmlformats.org/officeDocument/2006/relationships/hyperlink" Target="https://my.apps.factset.com/cpe-built-apps-server/fma-audit-report/index.html?_calendar=FIVEDAY&amp;_index=3&amp;_query=Rk1BX0RFQlRfVENBUCgnTFRNJywnMCcsJy0xMCcsJ0NZJywnUE9SVEFHRycpOw==&amp;_ticker=FI1305US&amp;display_string=audit&amp;HEIGHT=800&amp;WIDTH=1200&amp;WINDOW=POPUP" TargetMode="External"/><Relationship Id="rId75" Type="http://schemas.openxmlformats.org/officeDocument/2006/relationships/hyperlink" Target="https://my.apps.factset.com/cpe-built-apps-server/fma-audit-report/index.html?_calendar=FIVEDAY&amp;_index=8&amp;_query=Rk1BX0RFQlRfVENBUCgnTFRNJywnMCcsJy0xMCcsJ0NZJywnUE9SVEFHRycpOw==&amp;_ticker=FI1305US&amp;display_string=audit&amp;HEIGHT=800&amp;WIDTH=1200&amp;WINDOW=POPUP" TargetMode="External"/><Relationship Id="rId1" Type="http://schemas.openxmlformats.org/officeDocument/2006/relationships/hyperlink" Target="https://my.apps.factset.com/cpe-built-apps-server/fma-audit-report/index.html?_calendar=FIVEDAY&amp;_index=0&amp;_query=Rk1BX0xURF9FUSgnTFRNJywnMCcsJy0xMCcsJ0NZJywnTE9DQUwnLCdQT1JUQUdHJywnTUVBTlInKTs=&amp;_ticker=FI1305US&amp;display_string=audit&amp;HEIGHT=800&amp;WIDTH=1200&amp;WINDOW=POPUP" TargetMode="External"/><Relationship Id="rId6" Type="http://schemas.openxmlformats.org/officeDocument/2006/relationships/hyperlink" Target="https://my.apps.factset.com/cpe-built-apps-server/fma-audit-report/index.html?_calendar=FIVEDAY&amp;_index=5&amp;_query=Rk1BX0xURF9FUSgnTFRNJywnMCcsJy0xMCcsJ0NZJywnTE9DQUwnLCdQT1JUQUdHJywnTUVBTlInKTs=&amp;_ticker=FI1305US&amp;display_string=audit&amp;HEIGHT=800&amp;WIDTH=1200&amp;WINDOW=POPUP" TargetMode="External"/><Relationship Id="rId15" Type="http://schemas.openxmlformats.org/officeDocument/2006/relationships/hyperlink" Target="https://my.apps.factset.com/cpe-built-apps-server/fma-audit-report/index.html?_calendar=FIVEDAY&amp;_index=3&amp;_query=Rk1BX0xURF9UQ0FQKCdMVE0nLCcwJywnLTEwJywnQ1knLCdQT1JUQUdHJyk7&amp;_ticker=FI1305US&amp;display_string=audit&amp;HEIGHT=800&amp;WIDTH=1200&amp;WINDOW=POPUP" TargetMode="External"/><Relationship Id="rId23" Type="http://schemas.openxmlformats.org/officeDocument/2006/relationships/hyperlink" Target="https://my.apps.factset.com/cpe-built-apps-server/fma-audit-report/index.html?_calendar=FIVEDAY&amp;_index=0&amp;_query=Rk1BX0xURF9BU1NFVFMoJ0xUTScsJzAnLCctMTAnLCdDWScsJ0xPQ0FMJywnUE9SVEFHRycsJ01FQU5SJyk7&amp;_ticker=FI1305US&amp;display_string=audit&amp;HEIGHT=800&amp;WIDTH=1200&amp;WINDOW=POPUP" TargetMode="External"/><Relationship Id="rId28" Type="http://schemas.openxmlformats.org/officeDocument/2006/relationships/hyperlink" Target="https://my.apps.factset.com/cpe-built-apps-server/fma-audit-report/index.html?_calendar=FIVEDAY&amp;_index=5&amp;_query=Rk1BX0xURF9BU1NFVFMoJ0xUTScsJzAnLCctMTAnLCdDWScsJ0xPQ0FMJywnUE9SVEFHRycsJ01FQU5SJyk7&amp;_ticker=FI1305US&amp;display_string=audit&amp;HEIGHT=800&amp;WIDTH=1200&amp;WINDOW=POPUP" TargetMode="External"/><Relationship Id="rId36" Type="http://schemas.openxmlformats.org/officeDocument/2006/relationships/hyperlink" Target="https://my.apps.factset.com/cpe-built-apps-server/fma-audit-report/index.html?_calendar=FIVEDAY&amp;_index=2&amp;_query=Rk1BX0RFQlRfQVNTRVRTKCdMVE0nLCcwJywnLTEwJywnQ1knLCdQT1JUQUdHJyk7&amp;_ticker=FI1305US&amp;display_string=audit&amp;HEIGHT=800&amp;WIDTH=1200&amp;WINDOW=POPUP" TargetMode="External"/><Relationship Id="rId49" Type="http://schemas.openxmlformats.org/officeDocument/2006/relationships/hyperlink" Target="https://my.apps.factset.com/cpe-built-apps-server/fma-audit-report/index.html?_calendar=FIVEDAY&amp;_index=4&amp;_query=Rk1BX0RFQlRfRVEoJ0xUTScsJzAnLCctMTAnLCdDWScsJ1BPUlRBR0cnKTs=&amp;_ticker=FI1305US&amp;display_string=audit&amp;HEIGHT=800&amp;WIDTH=1200&amp;WINDOW=POPUP" TargetMode="External"/><Relationship Id="rId57" Type="http://schemas.openxmlformats.org/officeDocument/2006/relationships/hyperlink" Target="https://my.apps.factset.com/cpe-built-apps-server/fma-audit-report/index.html?_calendar=FIVEDAY&amp;_index=1&amp;_query=Rk1BX05ERUJUX1RDQVAoJ0xUTScsJzAnLCctMTAnLCdDWScsJ0xPQ0FMJywnUE9SVEFHRycsJ01FQU5SJyk7&amp;_ticker=FI1305US&amp;display_string=audit&amp;HEIGHT=800&amp;WIDTH=1200&amp;WINDOW=POPUP" TargetMode="External"/><Relationship Id="rId10" Type="http://schemas.openxmlformats.org/officeDocument/2006/relationships/hyperlink" Target="https://my.apps.factset.com/cpe-built-apps-server/fma-audit-report/index.html?_calendar=FIVEDAY&amp;_index=9&amp;_query=Rk1BX0xURF9FUSgnTFRNJywnMCcsJy0xMCcsJ0NZJywnTE9DQUwnLCdQT1JUQUdHJywnTUVBTlInKTs=&amp;_ticker=FI1305US&amp;display_string=audit&amp;HEIGHT=800&amp;WIDTH=1200&amp;WINDOW=POPUP" TargetMode="External"/><Relationship Id="rId31" Type="http://schemas.openxmlformats.org/officeDocument/2006/relationships/hyperlink" Target="https://my.apps.factset.com/cpe-built-apps-server/fma-audit-report/index.html?_calendar=FIVEDAY&amp;_index=8&amp;_query=Rk1BX0xURF9BU1NFVFMoJ0xUTScsJzAnLCctMTAnLCdDWScsJ0xPQ0FMJywnUE9SVEFHRycsJ01FQU5SJyk7&amp;_ticker=FI1305US&amp;display_string=audit&amp;HEIGHT=800&amp;WIDTH=1200&amp;WINDOW=POPUP" TargetMode="External"/><Relationship Id="rId44" Type="http://schemas.openxmlformats.org/officeDocument/2006/relationships/hyperlink" Target="https://my.apps.factset.com/cpe-built-apps-server/fma-audit-report/index.html?_calendar=FIVEDAY&amp;_index=10&amp;_query=Rk1BX0RFQlRfQVNTRVRTKCdMVE0nLCcwJywnLTEwJywnQ1knLCdQT1JUQUdHJyk7&amp;_ticker=FI1305US&amp;display_string=audit&amp;HEIGHT=800&amp;WIDTH=1200&amp;WINDOW=POPUP" TargetMode="External"/><Relationship Id="rId52" Type="http://schemas.openxmlformats.org/officeDocument/2006/relationships/hyperlink" Target="https://my.apps.factset.com/cpe-built-apps-server/fma-audit-report/index.html?_calendar=FIVEDAY&amp;_index=7&amp;_query=Rk1BX0RFQlRfRVEoJ0xUTScsJzAnLCctMTAnLCdDWScsJ1BPUlRBR0cnKTs=&amp;_ticker=FI1305US&amp;display_string=audit&amp;HEIGHT=800&amp;WIDTH=1200&amp;WINDOW=POPUP" TargetMode="External"/><Relationship Id="rId60" Type="http://schemas.openxmlformats.org/officeDocument/2006/relationships/hyperlink" Target="https://my.apps.factset.com/cpe-built-apps-server/fma-audit-report/index.html?_calendar=FIVEDAY&amp;_index=4&amp;_query=Rk1BX05ERUJUX1RDQVAoJ0xUTScsJzAnLCctMTAnLCdDWScsJ0xPQ0FMJywnUE9SVEFHRycsJ01FQU5SJyk7&amp;_ticker=FI1305US&amp;display_string=audit&amp;HEIGHT=800&amp;WIDTH=1200&amp;WINDOW=POPUP" TargetMode="External"/><Relationship Id="rId65" Type="http://schemas.openxmlformats.org/officeDocument/2006/relationships/hyperlink" Target="https://my.apps.factset.com/cpe-built-apps-server/fma-audit-report/index.html?_calendar=FIVEDAY&amp;_index=9&amp;_query=Rk1BX05ERUJUX1RDQVAoJ0xUTScsJzAnLCctMTAnLCdDWScsJ0xPQ0FMJywnUE9SVEFHRycsJ01FQU5SJyk7&amp;_ticker=FI1305US&amp;display_string=audit&amp;HEIGHT=800&amp;WIDTH=1200&amp;WINDOW=POPUP" TargetMode="External"/><Relationship Id="rId73" Type="http://schemas.openxmlformats.org/officeDocument/2006/relationships/hyperlink" Target="https://my.apps.factset.com/cpe-built-apps-server/fma-audit-report/index.html?_calendar=FIVEDAY&amp;_index=6&amp;_query=Rk1BX0RFQlRfVENBUCgnTFRNJywnMCcsJy0xMCcsJ0NZJywnUE9SVEFHRycpOw==&amp;_ticker=FI1305US&amp;display_string=audit&amp;HEIGHT=800&amp;WIDTH=1200&amp;WINDOW=POPUP" TargetMode="External"/><Relationship Id="rId4" Type="http://schemas.openxmlformats.org/officeDocument/2006/relationships/hyperlink" Target="https://my.apps.factset.com/cpe-built-apps-server/fma-audit-report/index.html?_calendar=FIVEDAY&amp;_index=3&amp;_query=Rk1BX0xURF9FUSgnTFRNJywnMCcsJy0xMCcsJ0NZJywnTE9DQUwnLCdQT1JUQUdHJywnTUVBTlInKTs=&amp;_ticker=FI1305US&amp;display_string=audit&amp;HEIGHT=800&amp;WIDTH=1200&amp;WINDOW=POPUP" TargetMode="External"/><Relationship Id="rId9" Type="http://schemas.openxmlformats.org/officeDocument/2006/relationships/hyperlink" Target="https://my.apps.factset.com/cpe-built-apps-server/fma-audit-report/index.html?_calendar=FIVEDAY&amp;_index=8&amp;_query=Rk1BX0xURF9FUSgnTFRNJywnMCcsJy0xMCcsJ0NZJywnTE9DQUwnLCdQT1JUQUdHJywnTUVBTlInKTs=&amp;_ticker=FI1305US&amp;display_string=audit&amp;HEIGHT=800&amp;WIDTH=1200&amp;WINDOW=POPUP" TargetMode="External"/><Relationship Id="rId13" Type="http://schemas.openxmlformats.org/officeDocument/2006/relationships/hyperlink" Target="https://my.apps.factset.com/cpe-built-apps-server/fma-audit-report/index.html?_calendar=FIVEDAY&amp;_index=1&amp;_query=Rk1BX0xURF9UQ0FQKCdMVE0nLCcwJywnLTEwJywnQ1knLCdQT1JUQUdHJyk7&amp;_ticker=FI1305US&amp;display_string=audit&amp;HEIGHT=800&amp;WIDTH=1200&amp;WINDOW=POPUP" TargetMode="External"/><Relationship Id="rId18" Type="http://schemas.openxmlformats.org/officeDocument/2006/relationships/hyperlink" Target="https://my.apps.factset.com/cpe-built-apps-server/fma-audit-report/index.html?_calendar=FIVEDAY&amp;_index=6&amp;_query=Rk1BX0xURF9UQ0FQKCdMVE0nLCcwJywnLTEwJywnQ1knLCdQT1JUQUdHJyk7&amp;_ticker=FI1305US&amp;display_string=audit&amp;HEIGHT=800&amp;WIDTH=1200&amp;WINDOW=POPUP" TargetMode="External"/><Relationship Id="rId39" Type="http://schemas.openxmlformats.org/officeDocument/2006/relationships/hyperlink" Target="https://my.apps.factset.com/cpe-built-apps-server/fma-audit-report/index.html?_calendar=FIVEDAY&amp;_index=5&amp;_query=Rk1BX0RFQlRfQVNTRVRTKCdMVE0nLCcwJywnLTEwJywnQ1knLCdQT1JUQUdHJyk7&amp;_ticker=FI1305US&amp;display_string=audit&amp;HEIGHT=800&amp;WIDTH=1200&amp;WINDOW=POPUP" TargetMode="External"/><Relationship Id="rId34" Type="http://schemas.openxmlformats.org/officeDocument/2006/relationships/hyperlink" Target="https://my.apps.factset.com/cpe-built-apps-server/fma-audit-report/index.html?_calendar=FIVEDAY&amp;_index=0&amp;_query=Rk1BX0RFQlRfQVNTRVRTKCdMVE0nLCcwJywnLTEwJywnQ1knLCdQT1JUQUdHJyk7&amp;_ticker=FI1305US&amp;display_string=audit&amp;HEIGHT=800&amp;WIDTH=1200&amp;WINDOW=POPUP" TargetMode="External"/><Relationship Id="rId50" Type="http://schemas.openxmlformats.org/officeDocument/2006/relationships/hyperlink" Target="https://my.apps.factset.com/cpe-built-apps-server/fma-audit-report/index.html?_calendar=FIVEDAY&amp;_index=5&amp;_query=Rk1BX0RFQlRfRVEoJ0xUTScsJzAnLCctMTAnLCdDWScsJ1BPUlRBR0cnKTs=&amp;_ticker=FI1305US&amp;display_string=audit&amp;HEIGHT=800&amp;WIDTH=1200&amp;WINDOW=POPUP" TargetMode="External"/><Relationship Id="rId55" Type="http://schemas.openxmlformats.org/officeDocument/2006/relationships/hyperlink" Target="https://my.apps.factset.com/cpe-built-apps-server/fma-audit-report/index.html?_calendar=FIVEDAY&amp;_index=10&amp;_query=Rk1BX0RFQlRfRVEoJ0xUTScsJzAnLCctMTAnLCdDWScsJ1BPUlRBR0cnKTs=&amp;_ticker=FI1305US&amp;display_string=audit&amp;HEIGHT=800&amp;WIDTH=1200&amp;WINDOW=POPUP" TargetMode="External"/><Relationship Id="rId76" Type="http://schemas.openxmlformats.org/officeDocument/2006/relationships/hyperlink" Target="https://my.apps.factset.com/cpe-built-apps-server/fma-audit-report/index.html?_calendar=FIVEDAY&amp;_index=9&amp;_query=Rk1BX0RFQlRfVENBUCgnTFRNJywnMCcsJy0xMCcsJ0NZJywnUE9SVEFHRycpOw==&amp;_ticker=FI1305US&amp;display_string=audit&amp;HEIGHT=800&amp;WIDTH=1200&amp;WINDOW=POPUP" TargetMode="External"/><Relationship Id="rId7" Type="http://schemas.openxmlformats.org/officeDocument/2006/relationships/hyperlink" Target="https://my.apps.factset.com/cpe-built-apps-server/fma-audit-report/index.html?_calendar=FIVEDAY&amp;_index=6&amp;_query=Rk1BX0xURF9FUSgnTFRNJywnMCcsJy0xMCcsJ0NZJywnTE9DQUwnLCdQT1JUQUdHJywnTUVBTlInKTs=&amp;_ticker=FI1305US&amp;display_string=audit&amp;HEIGHT=800&amp;WIDTH=1200&amp;WINDOW=POPUP" TargetMode="External"/><Relationship Id="rId71" Type="http://schemas.openxmlformats.org/officeDocument/2006/relationships/hyperlink" Target="https://my.apps.factset.com/cpe-built-apps-server/fma-audit-report/index.html?_calendar=FIVEDAY&amp;_index=4&amp;_query=Rk1BX0RFQlRfVENBUCgnTFRNJywnMCcsJy0xMCcsJ0NZJywnUE9SVEFHRycpOw==&amp;_ticker=FI1305US&amp;display_string=audit&amp;HEIGHT=800&amp;WIDTH=1200&amp;WINDOW=POPUP" TargetMode="External"/><Relationship Id="rId2" Type="http://schemas.openxmlformats.org/officeDocument/2006/relationships/hyperlink" Target="https://my.apps.factset.com/cpe-built-apps-server/fma-audit-report/index.html?_calendar=FIVEDAY&amp;_index=1&amp;_query=Rk1BX0xURF9FUSgnTFRNJywnMCcsJy0xMCcsJ0NZJywnTE9DQUwnLCdQT1JUQUdHJywnTUVBTlInKTs=&amp;_ticker=FI1305US&amp;display_string=audit&amp;HEIGHT=800&amp;WIDTH=1200&amp;WINDOW=POPUP" TargetMode="External"/><Relationship Id="rId29" Type="http://schemas.openxmlformats.org/officeDocument/2006/relationships/hyperlink" Target="https://my.apps.factset.com/cpe-built-apps-server/fma-audit-report/index.html?_calendar=FIVEDAY&amp;_index=6&amp;_query=Rk1BX0xURF9BU1NFVFMoJ0xUTScsJzAnLCctMTAnLCdDWScsJ0xPQ0FMJywnUE9SVEFHRycsJ01FQU5SJyk7&amp;_ticker=FI1305US&amp;display_string=audit&amp;HEIGHT=800&amp;WIDTH=1200&amp;WINDOW=POPUP"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my.apps.factset.com/cpe-built-apps-server/fma-audit-report/index.html?_calendar=FIVEDAY&amp;_index=6&amp;_query=Rk1BX0ZDRl9ERUJUKCdMVE0nLCcwJywnLTEwJywnQ1knLCdQT1JUQUdHJyk7&amp;_ticker=FI1305US&amp;display_string=audit&amp;HEIGHT=800&amp;WIDTH=1200&amp;WINDOW=POPUP" TargetMode="External"/><Relationship Id="rId21" Type="http://schemas.openxmlformats.org/officeDocument/2006/relationships/hyperlink" Target="https://my.apps.factset.com/cpe-built-apps-server/fma-audit-report/index.html?_calendar=FIVEDAY&amp;_index=9&amp;_query=Rk1BX05ERUJUX0VCSVREQV9NSU5fQ0FQRVgoJ0xUTScsJzAnLCctMTAnLCdDWScsJ0xPQ0FMJywnUE9SVEFHRycsJ01FQU5SJyk7&amp;_ticker=FI1305US&amp;display_string=audit&amp;HEIGHT=800&amp;WIDTH=1200&amp;WINDOW=POPUP" TargetMode="External"/><Relationship Id="rId42" Type="http://schemas.openxmlformats.org/officeDocument/2006/relationships/hyperlink" Target="https://my.apps.factset.com/cpe-built-apps-server/fma-audit-report/index.html?_calendar=FIVEDAY&amp;_index=8&amp;_query=Rk1BX0RFQlRfRUJJVCgnTFRNJywnMCcsJy0xMCcsJ0NZJywnUE9SVEFHRycpOw==&amp;_ticker=FI1305US&amp;display_string=audit&amp;HEIGHT=800&amp;WIDTH=1200&amp;WINDOW=POPUP" TargetMode="External"/><Relationship Id="rId47" Type="http://schemas.openxmlformats.org/officeDocument/2006/relationships/hyperlink" Target="https://my.apps.factset.com/cpe-built-apps-server/fma-audit-report/index.html?_calendar=FIVEDAY&amp;_index=2&amp;_query=Rk1BX0VCSVRfSU5UX0VYUCgnTFRNJywnMCcsJy0xMCcsJ0NZJywnUE9SVEFHRycpOw==&amp;_ticker=FI1305US&amp;display_string=audit&amp;HEIGHT=800&amp;WIDTH=1200&amp;WINDOW=POPUP" TargetMode="External"/><Relationship Id="rId63" Type="http://schemas.openxmlformats.org/officeDocument/2006/relationships/hyperlink" Target="https://my.apps.factset.com/cpe-built-apps-server/fma-audit-report/index.html?_calendar=FIVEDAY&amp;_index=7&amp;_query=Rk1BX0VCSVREQV9JTlRfRVhQKCdMVE0nLCcwJywnLTEwJywnQ1knLCdQT1JUQUdHJyk7&amp;_ticker=FI1305US&amp;display_string=audit&amp;HEIGHT=800&amp;WIDTH=1200&amp;WINDOW=POPUP" TargetMode="External"/><Relationship Id="rId68" Type="http://schemas.openxmlformats.org/officeDocument/2006/relationships/hyperlink" Target="https://my.apps.factset.com/cpe-built-apps-server/fma-audit-report/index.html?_calendar=FIVEDAY&amp;_index=1&amp;_query=Rk1BX09QRVJfQ0ZfSU5UX0VYUCgnTFRNJywnMCcsJy0xMCcsJ0NZJywnTE9DQUwnLCdQT1JUQUdHJywnTUVBTlInKTs=&amp;_ticker=FI1305US&amp;display_string=audit&amp;HEIGHT=800&amp;WIDTH=1200&amp;WINDOW=POPUP" TargetMode="External"/><Relationship Id="rId84" Type="http://schemas.openxmlformats.org/officeDocument/2006/relationships/hyperlink" Target="https://my.apps.factset.com/cpe-built-apps-server/fma-audit-report/index.html?_calendar=FIVEDAY&amp;_index=6&amp;_query=Rk1BX0xURF9FQklUREEoJ0xUTScsJzAnLCctMTAnLCdDWScsJ0xPQ0FMJywnUE9SVEFHRycsJ01FQU5SJyk7&amp;_ticker=FI1305US&amp;display_string=audit&amp;HEIGHT=800&amp;WIDTH=1200&amp;WINDOW=POPUP" TargetMode="External"/><Relationship Id="rId89" Type="http://schemas.openxmlformats.org/officeDocument/2006/relationships/hyperlink" Target="https://my.apps.factset.com/cpe-built-apps-server/fma-audit-report/index.html?_calendar=FIVEDAY&amp;_index=0&amp;_query=Rk1BX05ERUJUX0ZGTygnTFRNJywnMCcsJy0xMCcsJ0NZJywnTE9DQUwnLCdQT1JUQUdHJywnTUVBTlInKTs=&amp;_ticker=FI1305US&amp;display_string=audit&amp;HEIGHT=800&amp;WIDTH=1200&amp;WINDOW=POPUP" TargetMode="External"/><Relationship Id="rId112" Type="http://schemas.openxmlformats.org/officeDocument/2006/relationships/hyperlink" Target="https://my.apps.factset.com/cpe-built-apps-server/fma-audit-report/index.html?_calendar=FIVEDAY&amp;_index=1&amp;_query=Rk1BX0ZDRl9ERUJUKCdMVE0nLCcwJywnLTEwJywnQ1knLCdQT1JUQUdHJyk7&amp;_ticker=FI1305US&amp;display_string=audit&amp;HEIGHT=800&amp;WIDTH=1200&amp;WINDOW=POPUP" TargetMode="External"/><Relationship Id="rId16" Type="http://schemas.openxmlformats.org/officeDocument/2006/relationships/hyperlink" Target="https://my.apps.factset.com/cpe-built-apps-server/fma-audit-report/index.html?_calendar=FIVEDAY&amp;_index=4&amp;_query=Rk1BX05ERUJUX0VCSVREQV9NSU5fQ0FQRVgoJ0xUTScsJzAnLCctMTAnLCdDWScsJ0xPQ0FMJywnUE9SVEFHRycsJ01FQU5SJyk7&amp;_ticker=FI1305US&amp;display_string=audit&amp;HEIGHT=800&amp;WIDTH=1200&amp;WINDOW=POPUP" TargetMode="External"/><Relationship Id="rId107" Type="http://schemas.openxmlformats.org/officeDocument/2006/relationships/hyperlink" Target="https://my.apps.factset.com/cpe-built-apps-server/fma-audit-report/index.html?_calendar=FIVEDAY&amp;_index=7&amp;_query=Rk1BX0xURF9GRk8oJ0xUTScsJzAnLCctMTAnLCdDWScsJ0xPQ0FMJywnUE9SVEFHRycsJ01FQU5SJyk7&amp;_ticker=FI1305US&amp;display_string=audit&amp;HEIGHT=800&amp;WIDTH=1200&amp;WINDOW=POPUP" TargetMode="External"/><Relationship Id="rId11" Type="http://schemas.openxmlformats.org/officeDocument/2006/relationships/hyperlink" Target="https://my.apps.factset.com/cpe-built-apps-server/fma-audit-report/index.html?_calendar=FIVEDAY&amp;_index=10&amp;_query=Rk1BX05ERUJUX0VCSVREQSgnTFRNJywnMCcsJy0xMCcsJ0NZJywsJ1BPUlRBR0cnLCdNRUFOUicpOw==&amp;_ticker=FI1305US&amp;display_string=audit&amp;HEIGHT=800&amp;WIDTH=1200&amp;WINDOW=POPUP" TargetMode="External"/><Relationship Id="rId32" Type="http://schemas.openxmlformats.org/officeDocument/2006/relationships/hyperlink" Target="https://my.apps.factset.com/cpe-built-apps-server/fma-audit-report/index.html?_calendar=FIVEDAY&amp;_index=9&amp;_query=Rk1BX0RFQlRfRUJJVERBKCdMVE0nLCcwJywnLTEwJywnQ1knLCdQT1JUQUdHJyk7&amp;_ticker=FI1305US&amp;display_string=audit&amp;HEIGHT=800&amp;WIDTH=1200&amp;WINDOW=POPUP" TargetMode="External"/><Relationship Id="rId37" Type="http://schemas.openxmlformats.org/officeDocument/2006/relationships/hyperlink" Target="https://my.apps.factset.com/cpe-built-apps-server/fma-audit-report/index.html?_calendar=FIVEDAY&amp;_index=3&amp;_query=Rk1BX0RFQlRfRUJJVCgnTFRNJywnMCcsJy0xMCcsJ0NZJywnUE9SVEFHRycpOw==&amp;_ticker=FI1305US&amp;display_string=audit&amp;HEIGHT=800&amp;WIDTH=1200&amp;WINDOW=POPUP" TargetMode="External"/><Relationship Id="rId53" Type="http://schemas.openxmlformats.org/officeDocument/2006/relationships/hyperlink" Target="https://my.apps.factset.com/cpe-built-apps-server/fma-audit-report/index.html?_calendar=FIVEDAY&amp;_index=8&amp;_query=Rk1BX0VCSVRfSU5UX0VYUCgnTFRNJywnMCcsJy0xMCcsJ0NZJywnUE9SVEFHRycpOw==&amp;_ticker=FI1305US&amp;display_string=audit&amp;HEIGHT=800&amp;WIDTH=1200&amp;WINDOW=POPUP" TargetMode="External"/><Relationship Id="rId58" Type="http://schemas.openxmlformats.org/officeDocument/2006/relationships/hyperlink" Target="https://my.apps.factset.com/cpe-built-apps-server/fma-audit-report/index.html?_calendar=FIVEDAY&amp;_index=2&amp;_query=Rk1BX0VCSVREQV9JTlRfRVhQKCdMVE0nLCcwJywnLTEwJywnQ1knLCdQT1JUQUdHJyk7&amp;_ticker=FI1305US&amp;display_string=audit&amp;HEIGHT=800&amp;WIDTH=1200&amp;WINDOW=POPUP" TargetMode="External"/><Relationship Id="rId74" Type="http://schemas.openxmlformats.org/officeDocument/2006/relationships/hyperlink" Target="https://my.apps.factset.com/cpe-built-apps-server/fma-audit-report/index.html?_calendar=FIVEDAY&amp;_index=7&amp;_query=Rk1BX09QRVJfQ0ZfSU5UX0VYUCgnTFRNJywnMCcsJy0xMCcsJ0NZJywnTE9DQUwnLCdQT1JUQUdHJywnTUVBTlInKTs=&amp;_ticker=FI1305US&amp;display_string=audit&amp;HEIGHT=800&amp;WIDTH=1200&amp;WINDOW=POPUP" TargetMode="External"/><Relationship Id="rId79" Type="http://schemas.openxmlformats.org/officeDocument/2006/relationships/hyperlink" Target="https://my.apps.factset.com/cpe-built-apps-server/fma-audit-report/index.html?_calendar=FIVEDAY&amp;_index=1&amp;_query=Rk1BX0xURF9FQklUREEoJ0xUTScsJzAnLCctMTAnLCdDWScsJ0xPQ0FMJywnUE9SVEFHRycsJ01FQU5SJyk7&amp;_ticker=FI1305US&amp;display_string=audit&amp;HEIGHT=800&amp;WIDTH=1200&amp;WINDOW=POPUP" TargetMode="External"/><Relationship Id="rId102" Type="http://schemas.openxmlformats.org/officeDocument/2006/relationships/hyperlink" Target="https://my.apps.factset.com/cpe-built-apps-server/fma-audit-report/index.html?_calendar=FIVEDAY&amp;_index=2&amp;_query=Rk1BX0xURF9GRk8oJ0xUTScsJzAnLCctMTAnLCdDWScsJ0xPQ0FMJywnUE9SVEFHRycsJ01FQU5SJyk7&amp;_ticker=FI1305US&amp;display_string=audit&amp;HEIGHT=800&amp;WIDTH=1200&amp;WINDOW=POPUP" TargetMode="External"/><Relationship Id="rId123" Type="http://schemas.openxmlformats.org/officeDocument/2006/relationships/hyperlink" Target="https://my.apps.factset.com/cpe-built-apps-server/fma-audit-report/index.html?_calendar=FIVEDAY&amp;_index=1&amp;_query=Rk1BX09QRVJfQ0ZfREVCVCgnTFRNJywnMCcsJy0xMCcsJ0NZJywnTE9DQUwnLCdQT1JUQUdHJywnTUVBTlInKTs=&amp;_ticker=FI1305US&amp;display_string=audit&amp;HEIGHT=800&amp;WIDTH=1200&amp;WINDOW=POPUP" TargetMode="External"/><Relationship Id="rId128" Type="http://schemas.openxmlformats.org/officeDocument/2006/relationships/hyperlink" Target="https://my.apps.factset.com/cpe-built-apps-server/fma-audit-report/index.html?_calendar=FIVEDAY&amp;_index=6&amp;_query=Rk1BX09QRVJfQ0ZfREVCVCgnTFRNJywnMCcsJy0xMCcsJ0NZJywnTE9DQUwnLCdQT1JUQUdHJywnTUVBTlInKTs=&amp;_ticker=FI1305US&amp;display_string=audit&amp;HEIGHT=800&amp;WIDTH=1200&amp;WINDOW=POPUP" TargetMode="External"/><Relationship Id="rId5" Type="http://schemas.openxmlformats.org/officeDocument/2006/relationships/hyperlink" Target="https://my.apps.factset.com/cpe-built-apps-server/fma-audit-report/index.html?_calendar=FIVEDAY&amp;_index=4&amp;_query=Rk1BX05ERUJUX0VCSVREQSgnTFRNJywnMCcsJy0xMCcsJ0NZJywsJ1BPUlRBR0cnLCdNRUFOUicpOw==&amp;_ticker=FI1305US&amp;display_string=audit&amp;HEIGHT=800&amp;WIDTH=1200&amp;WINDOW=POPUP" TargetMode="External"/><Relationship Id="rId90" Type="http://schemas.openxmlformats.org/officeDocument/2006/relationships/hyperlink" Target="https://my.apps.factset.com/cpe-built-apps-server/fma-audit-report/index.html?_calendar=FIVEDAY&amp;_index=1&amp;_query=Rk1BX05ERUJUX0ZGTygnTFRNJywnMCcsJy0xMCcsJ0NZJywnTE9DQUwnLCdQT1JUQUdHJywnTUVBTlInKTs=&amp;_ticker=FI1305US&amp;display_string=audit&amp;HEIGHT=800&amp;WIDTH=1200&amp;WINDOW=POPUP" TargetMode="External"/><Relationship Id="rId95" Type="http://schemas.openxmlformats.org/officeDocument/2006/relationships/hyperlink" Target="https://my.apps.factset.com/cpe-built-apps-server/fma-audit-report/index.html?_calendar=FIVEDAY&amp;_index=6&amp;_query=Rk1BX05ERUJUX0ZGTygnTFRNJywnMCcsJy0xMCcsJ0NZJywnTE9DQUwnLCdQT1JUQUdHJywnTUVBTlInKTs=&amp;_ticker=FI1305US&amp;display_string=audit&amp;HEIGHT=800&amp;WIDTH=1200&amp;WINDOW=POPUP" TargetMode="External"/><Relationship Id="rId22" Type="http://schemas.openxmlformats.org/officeDocument/2006/relationships/hyperlink" Target="https://my.apps.factset.com/cpe-built-apps-server/fma-audit-report/index.html?_calendar=FIVEDAY&amp;_index=10&amp;_query=Rk1BX05ERUJUX0VCSVREQV9NSU5fQ0FQRVgoJ0xUTScsJzAnLCctMTAnLCdDWScsJ0xPQ0FMJywnUE9SVEFHRycsJ01FQU5SJyk7&amp;_ticker=FI1305US&amp;display_string=audit&amp;HEIGHT=800&amp;WIDTH=1200&amp;WINDOW=POPUP" TargetMode="External"/><Relationship Id="rId27" Type="http://schemas.openxmlformats.org/officeDocument/2006/relationships/hyperlink" Target="https://my.apps.factset.com/cpe-built-apps-server/fma-audit-report/index.html?_calendar=FIVEDAY&amp;_index=4&amp;_query=Rk1BX0RFQlRfRUJJVERBKCdMVE0nLCcwJywnLTEwJywnQ1knLCdQT1JUQUdHJyk7&amp;_ticker=FI1305US&amp;display_string=audit&amp;HEIGHT=800&amp;WIDTH=1200&amp;WINDOW=POPUP" TargetMode="External"/><Relationship Id="rId43" Type="http://schemas.openxmlformats.org/officeDocument/2006/relationships/hyperlink" Target="https://my.apps.factset.com/cpe-built-apps-server/fma-audit-report/index.html?_calendar=FIVEDAY&amp;_index=9&amp;_query=Rk1BX0RFQlRfRUJJVCgnTFRNJywnMCcsJy0xMCcsJ0NZJywnUE9SVEFHRycpOw==&amp;_ticker=FI1305US&amp;display_string=audit&amp;HEIGHT=800&amp;WIDTH=1200&amp;WINDOW=POPUP" TargetMode="External"/><Relationship Id="rId48" Type="http://schemas.openxmlformats.org/officeDocument/2006/relationships/hyperlink" Target="https://my.apps.factset.com/cpe-built-apps-server/fma-audit-report/index.html?_calendar=FIVEDAY&amp;_index=3&amp;_query=Rk1BX0VCSVRfSU5UX0VYUCgnTFRNJywnMCcsJy0xMCcsJ0NZJywnUE9SVEFHRycpOw==&amp;_ticker=FI1305US&amp;display_string=audit&amp;HEIGHT=800&amp;WIDTH=1200&amp;WINDOW=POPUP" TargetMode="External"/><Relationship Id="rId64" Type="http://schemas.openxmlformats.org/officeDocument/2006/relationships/hyperlink" Target="https://my.apps.factset.com/cpe-built-apps-server/fma-audit-report/index.html?_calendar=FIVEDAY&amp;_index=8&amp;_query=Rk1BX0VCSVREQV9JTlRfRVhQKCdMVE0nLCcwJywnLTEwJywnQ1knLCdQT1JUQUdHJyk7&amp;_ticker=FI1305US&amp;display_string=audit&amp;HEIGHT=800&amp;WIDTH=1200&amp;WINDOW=POPUP" TargetMode="External"/><Relationship Id="rId69" Type="http://schemas.openxmlformats.org/officeDocument/2006/relationships/hyperlink" Target="https://my.apps.factset.com/cpe-built-apps-server/fma-audit-report/index.html?_calendar=FIVEDAY&amp;_index=2&amp;_query=Rk1BX09QRVJfQ0ZfSU5UX0VYUCgnTFRNJywnMCcsJy0xMCcsJ0NZJywnTE9DQUwnLCdQT1JUQUdHJywnTUVBTlInKTs=&amp;_ticker=FI1305US&amp;display_string=audit&amp;HEIGHT=800&amp;WIDTH=1200&amp;WINDOW=POPUP" TargetMode="External"/><Relationship Id="rId113" Type="http://schemas.openxmlformats.org/officeDocument/2006/relationships/hyperlink" Target="https://my.apps.factset.com/cpe-built-apps-server/fma-audit-report/index.html?_calendar=FIVEDAY&amp;_index=2&amp;_query=Rk1BX0ZDRl9ERUJUKCdMVE0nLCcwJywnLTEwJywnQ1knLCdQT1JUQUdHJyk7&amp;_ticker=FI1305US&amp;display_string=audit&amp;HEIGHT=800&amp;WIDTH=1200&amp;WINDOW=POPUP" TargetMode="External"/><Relationship Id="rId118" Type="http://schemas.openxmlformats.org/officeDocument/2006/relationships/hyperlink" Target="https://my.apps.factset.com/cpe-built-apps-server/fma-audit-report/index.html?_calendar=FIVEDAY&amp;_index=7&amp;_query=Rk1BX0ZDRl9ERUJUKCdMVE0nLCcwJywnLTEwJywnQ1knLCdQT1JUQUdHJyk7&amp;_ticker=FI1305US&amp;display_string=audit&amp;HEIGHT=800&amp;WIDTH=1200&amp;WINDOW=POPUP" TargetMode="External"/><Relationship Id="rId80" Type="http://schemas.openxmlformats.org/officeDocument/2006/relationships/hyperlink" Target="https://my.apps.factset.com/cpe-built-apps-server/fma-audit-report/index.html?_calendar=FIVEDAY&amp;_index=2&amp;_query=Rk1BX0xURF9FQklUREEoJ0xUTScsJzAnLCctMTAnLCdDWScsJ0xPQ0FMJywnUE9SVEFHRycsJ01FQU5SJyk7&amp;_ticker=FI1305US&amp;display_string=audit&amp;HEIGHT=800&amp;WIDTH=1200&amp;WINDOW=POPUP" TargetMode="External"/><Relationship Id="rId85" Type="http://schemas.openxmlformats.org/officeDocument/2006/relationships/hyperlink" Target="https://my.apps.factset.com/cpe-built-apps-server/fma-audit-report/index.html?_calendar=FIVEDAY&amp;_index=7&amp;_query=Rk1BX0xURF9FQklUREEoJ0xUTScsJzAnLCctMTAnLCdDWScsJ0xPQ0FMJywnUE9SVEFHRycsJ01FQU5SJyk7&amp;_ticker=FI1305US&amp;display_string=audit&amp;HEIGHT=800&amp;WIDTH=1200&amp;WINDOW=POPUP" TargetMode="External"/><Relationship Id="rId12" Type="http://schemas.openxmlformats.org/officeDocument/2006/relationships/hyperlink" Target="https://my.apps.factset.com/cpe-built-apps-server/fma-audit-report/index.html?_calendar=FIVEDAY&amp;_index=0&amp;_query=Rk1BX05ERUJUX0VCSVREQV9NSU5fQ0FQRVgoJ0xUTScsJzAnLCctMTAnLCdDWScsJ0xPQ0FMJywnUE9SVEFHRycsJ01FQU5SJyk7&amp;_ticker=FI1305US&amp;display_string=audit&amp;HEIGHT=800&amp;WIDTH=1200&amp;WINDOW=POPUP" TargetMode="External"/><Relationship Id="rId17" Type="http://schemas.openxmlformats.org/officeDocument/2006/relationships/hyperlink" Target="https://my.apps.factset.com/cpe-built-apps-server/fma-audit-report/index.html?_calendar=FIVEDAY&amp;_index=5&amp;_query=Rk1BX05ERUJUX0VCSVREQV9NSU5fQ0FQRVgoJ0xUTScsJzAnLCctMTAnLCdDWScsJ0xPQ0FMJywnUE9SVEFHRycsJ01FQU5SJyk7&amp;_ticker=FI1305US&amp;display_string=audit&amp;HEIGHT=800&amp;WIDTH=1200&amp;WINDOW=POPUP" TargetMode="External"/><Relationship Id="rId33" Type="http://schemas.openxmlformats.org/officeDocument/2006/relationships/hyperlink" Target="https://my.apps.factset.com/cpe-built-apps-server/fma-audit-report/index.html?_calendar=FIVEDAY&amp;_index=10&amp;_query=Rk1BX0RFQlRfRUJJVERBKCdMVE0nLCcwJywnLTEwJywnQ1knLCdQT1JUQUdHJyk7&amp;_ticker=FI1305US&amp;display_string=audit&amp;HEIGHT=800&amp;WIDTH=1200&amp;WINDOW=POPUP" TargetMode="External"/><Relationship Id="rId38" Type="http://schemas.openxmlformats.org/officeDocument/2006/relationships/hyperlink" Target="https://my.apps.factset.com/cpe-built-apps-server/fma-audit-report/index.html?_calendar=FIVEDAY&amp;_index=4&amp;_query=Rk1BX0RFQlRfRUJJVCgnTFRNJywnMCcsJy0xMCcsJ0NZJywnUE9SVEFHRycpOw==&amp;_ticker=FI1305US&amp;display_string=audit&amp;HEIGHT=800&amp;WIDTH=1200&amp;WINDOW=POPUP" TargetMode="External"/><Relationship Id="rId59" Type="http://schemas.openxmlformats.org/officeDocument/2006/relationships/hyperlink" Target="https://my.apps.factset.com/cpe-built-apps-server/fma-audit-report/index.html?_calendar=FIVEDAY&amp;_index=3&amp;_query=Rk1BX0VCSVREQV9JTlRfRVhQKCdMVE0nLCcwJywnLTEwJywnQ1knLCdQT1JUQUdHJyk7&amp;_ticker=FI1305US&amp;display_string=audit&amp;HEIGHT=800&amp;WIDTH=1200&amp;WINDOW=POPUP" TargetMode="External"/><Relationship Id="rId103" Type="http://schemas.openxmlformats.org/officeDocument/2006/relationships/hyperlink" Target="https://my.apps.factset.com/cpe-built-apps-server/fma-audit-report/index.html?_calendar=FIVEDAY&amp;_index=3&amp;_query=Rk1BX0xURF9GRk8oJ0xUTScsJzAnLCctMTAnLCdDWScsJ0xPQ0FMJywnUE9SVEFHRycsJ01FQU5SJyk7&amp;_ticker=FI1305US&amp;display_string=audit&amp;HEIGHT=800&amp;WIDTH=1200&amp;WINDOW=POPUP" TargetMode="External"/><Relationship Id="rId108" Type="http://schemas.openxmlformats.org/officeDocument/2006/relationships/hyperlink" Target="https://my.apps.factset.com/cpe-built-apps-server/fma-audit-report/index.html?_calendar=FIVEDAY&amp;_index=8&amp;_query=Rk1BX0xURF9GRk8oJ0xUTScsJzAnLCctMTAnLCdDWScsJ0xPQ0FMJywnUE9SVEFHRycsJ01FQU5SJyk7&amp;_ticker=FI1305US&amp;display_string=audit&amp;HEIGHT=800&amp;WIDTH=1200&amp;WINDOW=POPUP" TargetMode="External"/><Relationship Id="rId124" Type="http://schemas.openxmlformats.org/officeDocument/2006/relationships/hyperlink" Target="https://my.apps.factset.com/cpe-built-apps-server/fma-audit-report/index.html?_calendar=FIVEDAY&amp;_index=2&amp;_query=Rk1BX09QRVJfQ0ZfREVCVCgnTFRNJywnMCcsJy0xMCcsJ0NZJywnTE9DQUwnLCdQT1JUQUdHJywnTUVBTlInKTs=&amp;_ticker=FI1305US&amp;display_string=audit&amp;HEIGHT=800&amp;WIDTH=1200&amp;WINDOW=POPUP" TargetMode="External"/><Relationship Id="rId129" Type="http://schemas.openxmlformats.org/officeDocument/2006/relationships/hyperlink" Target="https://my.apps.factset.com/cpe-built-apps-server/fma-audit-report/index.html?_calendar=FIVEDAY&amp;_index=7&amp;_query=Rk1BX09QRVJfQ0ZfREVCVCgnTFRNJywnMCcsJy0xMCcsJ0NZJywnTE9DQUwnLCdQT1JUQUdHJywnTUVBTlInKTs=&amp;_ticker=FI1305US&amp;display_string=audit&amp;HEIGHT=800&amp;WIDTH=1200&amp;WINDOW=POPUP" TargetMode="External"/><Relationship Id="rId54" Type="http://schemas.openxmlformats.org/officeDocument/2006/relationships/hyperlink" Target="https://my.apps.factset.com/cpe-built-apps-server/fma-audit-report/index.html?_calendar=FIVEDAY&amp;_index=9&amp;_query=Rk1BX0VCSVRfSU5UX0VYUCgnTFRNJywnMCcsJy0xMCcsJ0NZJywnUE9SVEFHRycpOw==&amp;_ticker=FI1305US&amp;display_string=audit&amp;HEIGHT=800&amp;WIDTH=1200&amp;WINDOW=POPUP" TargetMode="External"/><Relationship Id="rId70" Type="http://schemas.openxmlformats.org/officeDocument/2006/relationships/hyperlink" Target="https://my.apps.factset.com/cpe-built-apps-server/fma-audit-report/index.html?_calendar=FIVEDAY&amp;_index=3&amp;_query=Rk1BX09QRVJfQ0ZfSU5UX0VYUCgnTFRNJywnMCcsJy0xMCcsJ0NZJywnTE9DQUwnLCdQT1JUQUdHJywnTUVBTlInKTs=&amp;_ticker=FI1305US&amp;display_string=audit&amp;HEIGHT=800&amp;WIDTH=1200&amp;WINDOW=POPUP" TargetMode="External"/><Relationship Id="rId75" Type="http://schemas.openxmlformats.org/officeDocument/2006/relationships/hyperlink" Target="https://my.apps.factset.com/cpe-built-apps-server/fma-audit-report/index.html?_calendar=FIVEDAY&amp;_index=8&amp;_query=Rk1BX09QRVJfQ0ZfSU5UX0VYUCgnTFRNJywnMCcsJy0xMCcsJ0NZJywnTE9DQUwnLCdQT1JUQUdHJywnTUVBTlInKTs=&amp;_ticker=FI1305US&amp;display_string=audit&amp;HEIGHT=800&amp;WIDTH=1200&amp;WINDOW=POPUP" TargetMode="External"/><Relationship Id="rId91" Type="http://schemas.openxmlformats.org/officeDocument/2006/relationships/hyperlink" Target="https://my.apps.factset.com/cpe-built-apps-server/fma-audit-report/index.html?_calendar=FIVEDAY&amp;_index=2&amp;_query=Rk1BX05ERUJUX0ZGTygnTFRNJywnMCcsJy0xMCcsJ0NZJywnTE9DQUwnLCdQT1JUQUdHJywnTUVBTlInKTs=&amp;_ticker=FI1305US&amp;display_string=audit&amp;HEIGHT=800&amp;WIDTH=1200&amp;WINDOW=POPUP" TargetMode="External"/><Relationship Id="rId96" Type="http://schemas.openxmlformats.org/officeDocument/2006/relationships/hyperlink" Target="https://my.apps.factset.com/cpe-built-apps-server/fma-audit-report/index.html?_calendar=FIVEDAY&amp;_index=7&amp;_query=Rk1BX05ERUJUX0ZGTygnTFRNJywnMCcsJy0xMCcsJ0NZJywnTE9DQUwnLCdQT1JUQUdHJywnTUVBTlInKTs=&amp;_ticker=FI1305US&amp;display_string=audit&amp;HEIGHT=800&amp;WIDTH=1200&amp;WINDOW=POPUP" TargetMode="External"/><Relationship Id="rId1" Type="http://schemas.openxmlformats.org/officeDocument/2006/relationships/hyperlink" Target="https://my.apps.factset.com/cpe-built-apps-server/fma-audit-report/index.html?_calendar=FIVEDAY&amp;_index=0&amp;_query=Rk1BX05ERUJUX0VCSVREQSgnTFRNJywnMCcsJy0xMCcsJ0NZJywsJ1BPUlRBR0cnLCdNRUFOUicpOw==&amp;_ticker=FI1305US&amp;display_string=audit&amp;HEIGHT=800&amp;WIDTH=1200&amp;WINDOW=POPUP" TargetMode="External"/><Relationship Id="rId6" Type="http://schemas.openxmlformats.org/officeDocument/2006/relationships/hyperlink" Target="https://my.apps.factset.com/cpe-built-apps-server/fma-audit-report/index.html?_calendar=FIVEDAY&amp;_index=5&amp;_query=Rk1BX05ERUJUX0VCSVREQSgnTFRNJywnMCcsJy0xMCcsJ0NZJywsJ1BPUlRBR0cnLCdNRUFOUicpOw==&amp;_ticker=FI1305US&amp;display_string=audit&amp;HEIGHT=800&amp;WIDTH=1200&amp;WINDOW=POPUP" TargetMode="External"/><Relationship Id="rId23" Type="http://schemas.openxmlformats.org/officeDocument/2006/relationships/hyperlink" Target="https://my.apps.factset.com/cpe-built-apps-server/fma-audit-report/index.html?_calendar=FIVEDAY&amp;_index=0&amp;_query=Rk1BX0RFQlRfRUJJVERBKCdMVE0nLCcwJywnLTEwJywnQ1knLCdQT1JUQUdHJyk7&amp;_ticker=FI1305US&amp;display_string=audit&amp;HEIGHT=800&amp;WIDTH=1200&amp;WINDOW=POPUP" TargetMode="External"/><Relationship Id="rId28" Type="http://schemas.openxmlformats.org/officeDocument/2006/relationships/hyperlink" Target="https://my.apps.factset.com/cpe-built-apps-server/fma-audit-report/index.html?_calendar=FIVEDAY&amp;_index=5&amp;_query=Rk1BX0RFQlRfRUJJVERBKCdMVE0nLCcwJywnLTEwJywnQ1knLCdQT1JUQUdHJyk7&amp;_ticker=FI1305US&amp;display_string=audit&amp;HEIGHT=800&amp;WIDTH=1200&amp;WINDOW=POPUP" TargetMode="External"/><Relationship Id="rId49" Type="http://schemas.openxmlformats.org/officeDocument/2006/relationships/hyperlink" Target="https://my.apps.factset.com/cpe-built-apps-server/fma-audit-report/index.html?_calendar=FIVEDAY&amp;_index=4&amp;_query=Rk1BX0VCSVRfSU5UX0VYUCgnTFRNJywnMCcsJy0xMCcsJ0NZJywnUE9SVEFHRycpOw==&amp;_ticker=FI1305US&amp;display_string=audit&amp;HEIGHT=800&amp;WIDTH=1200&amp;WINDOW=POPUP" TargetMode="External"/><Relationship Id="rId114" Type="http://schemas.openxmlformats.org/officeDocument/2006/relationships/hyperlink" Target="https://my.apps.factset.com/cpe-built-apps-server/fma-audit-report/index.html?_calendar=FIVEDAY&amp;_index=3&amp;_query=Rk1BX0ZDRl9ERUJUKCdMVE0nLCcwJywnLTEwJywnQ1knLCdQT1JUQUdHJyk7&amp;_ticker=FI1305US&amp;display_string=audit&amp;HEIGHT=800&amp;WIDTH=1200&amp;WINDOW=POPUP" TargetMode="External"/><Relationship Id="rId119" Type="http://schemas.openxmlformats.org/officeDocument/2006/relationships/hyperlink" Target="https://my.apps.factset.com/cpe-built-apps-server/fma-audit-report/index.html?_calendar=FIVEDAY&amp;_index=8&amp;_query=Rk1BX0ZDRl9ERUJUKCdMVE0nLCcwJywnLTEwJywnQ1knLCdQT1JUQUdHJyk7&amp;_ticker=FI1305US&amp;display_string=audit&amp;HEIGHT=800&amp;WIDTH=1200&amp;WINDOW=POPUP" TargetMode="External"/><Relationship Id="rId44" Type="http://schemas.openxmlformats.org/officeDocument/2006/relationships/hyperlink" Target="https://my.apps.factset.com/cpe-built-apps-server/fma-audit-report/index.html?_calendar=FIVEDAY&amp;_index=10&amp;_query=Rk1BX0RFQlRfRUJJVCgnTFRNJywnMCcsJy0xMCcsJ0NZJywnUE9SVEFHRycpOw==&amp;_ticker=FI1305US&amp;display_string=audit&amp;HEIGHT=800&amp;WIDTH=1200&amp;WINDOW=POPUP" TargetMode="External"/><Relationship Id="rId60" Type="http://schemas.openxmlformats.org/officeDocument/2006/relationships/hyperlink" Target="https://my.apps.factset.com/cpe-built-apps-server/fma-audit-report/index.html?_calendar=FIVEDAY&amp;_index=4&amp;_query=Rk1BX0VCSVREQV9JTlRfRVhQKCdMVE0nLCcwJywnLTEwJywnQ1knLCdQT1JUQUdHJyk7&amp;_ticker=FI1305US&amp;display_string=audit&amp;HEIGHT=800&amp;WIDTH=1200&amp;WINDOW=POPUP" TargetMode="External"/><Relationship Id="rId65" Type="http://schemas.openxmlformats.org/officeDocument/2006/relationships/hyperlink" Target="https://my.apps.factset.com/cpe-built-apps-server/fma-audit-report/index.html?_calendar=FIVEDAY&amp;_index=9&amp;_query=Rk1BX0VCSVREQV9JTlRfRVhQKCdMVE0nLCcwJywnLTEwJywnQ1knLCdQT1JUQUdHJyk7&amp;_ticker=FI1305US&amp;display_string=audit&amp;HEIGHT=800&amp;WIDTH=1200&amp;WINDOW=POPUP" TargetMode="External"/><Relationship Id="rId81" Type="http://schemas.openxmlformats.org/officeDocument/2006/relationships/hyperlink" Target="https://my.apps.factset.com/cpe-built-apps-server/fma-audit-report/index.html?_calendar=FIVEDAY&amp;_index=3&amp;_query=Rk1BX0xURF9FQklUREEoJ0xUTScsJzAnLCctMTAnLCdDWScsJ0xPQ0FMJywnUE9SVEFHRycsJ01FQU5SJyk7&amp;_ticker=FI1305US&amp;display_string=audit&amp;HEIGHT=800&amp;WIDTH=1200&amp;WINDOW=POPUP" TargetMode="External"/><Relationship Id="rId86" Type="http://schemas.openxmlformats.org/officeDocument/2006/relationships/hyperlink" Target="https://my.apps.factset.com/cpe-built-apps-server/fma-audit-report/index.html?_calendar=FIVEDAY&amp;_index=8&amp;_query=Rk1BX0xURF9FQklUREEoJ0xUTScsJzAnLCctMTAnLCdDWScsJ0xPQ0FMJywnUE9SVEFHRycsJ01FQU5SJyk7&amp;_ticker=FI1305US&amp;display_string=audit&amp;HEIGHT=800&amp;WIDTH=1200&amp;WINDOW=POPUP" TargetMode="External"/><Relationship Id="rId130" Type="http://schemas.openxmlformats.org/officeDocument/2006/relationships/hyperlink" Target="https://my.apps.factset.com/cpe-built-apps-server/fma-audit-report/index.html?_calendar=FIVEDAY&amp;_index=8&amp;_query=Rk1BX09QRVJfQ0ZfREVCVCgnTFRNJywnMCcsJy0xMCcsJ0NZJywnTE9DQUwnLCdQT1JUQUdHJywnTUVBTlInKTs=&amp;_ticker=FI1305US&amp;display_string=audit&amp;HEIGHT=800&amp;WIDTH=1200&amp;WINDOW=POPUP" TargetMode="External"/><Relationship Id="rId13" Type="http://schemas.openxmlformats.org/officeDocument/2006/relationships/hyperlink" Target="https://my.apps.factset.com/cpe-built-apps-server/fma-audit-report/index.html?_calendar=FIVEDAY&amp;_index=1&amp;_query=Rk1BX05ERUJUX0VCSVREQV9NSU5fQ0FQRVgoJ0xUTScsJzAnLCctMTAnLCdDWScsJ0xPQ0FMJywnUE9SVEFHRycsJ01FQU5SJyk7&amp;_ticker=FI1305US&amp;display_string=audit&amp;HEIGHT=800&amp;WIDTH=1200&amp;WINDOW=POPUP" TargetMode="External"/><Relationship Id="rId18" Type="http://schemas.openxmlformats.org/officeDocument/2006/relationships/hyperlink" Target="https://my.apps.factset.com/cpe-built-apps-server/fma-audit-report/index.html?_calendar=FIVEDAY&amp;_index=6&amp;_query=Rk1BX05ERUJUX0VCSVREQV9NSU5fQ0FQRVgoJ0xUTScsJzAnLCctMTAnLCdDWScsJ0xPQ0FMJywnUE9SVEFHRycsJ01FQU5SJyk7&amp;_ticker=FI1305US&amp;display_string=audit&amp;HEIGHT=800&amp;WIDTH=1200&amp;WINDOW=POPUP" TargetMode="External"/><Relationship Id="rId39" Type="http://schemas.openxmlformats.org/officeDocument/2006/relationships/hyperlink" Target="https://my.apps.factset.com/cpe-built-apps-server/fma-audit-report/index.html?_calendar=FIVEDAY&amp;_index=5&amp;_query=Rk1BX0RFQlRfRUJJVCgnTFRNJywnMCcsJy0xMCcsJ0NZJywnUE9SVEFHRycpOw==&amp;_ticker=FI1305US&amp;display_string=audit&amp;HEIGHT=800&amp;WIDTH=1200&amp;WINDOW=POPUP" TargetMode="External"/><Relationship Id="rId109" Type="http://schemas.openxmlformats.org/officeDocument/2006/relationships/hyperlink" Target="https://my.apps.factset.com/cpe-built-apps-server/fma-audit-report/index.html?_calendar=FIVEDAY&amp;_index=9&amp;_query=Rk1BX0xURF9GRk8oJ0xUTScsJzAnLCctMTAnLCdDWScsJ0xPQ0FMJywnUE9SVEFHRycsJ01FQU5SJyk7&amp;_ticker=FI1305US&amp;display_string=audit&amp;HEIGHT=800&amp;WIDTH=1200&amp;WINDOW=POPUP" TargetMode="External"/><Relationship Id="rId34" Type="http://schemas.openxmlformats.org/officeDocument/2006/relationships/hyperlink" Target="https://my.apps.factset.com/cpe-built-apps-server/fma-audit-report/index.html?_calendar=FIVEDAY&amp;_index=0&amp;_query=Rk1BX0RFQlRfRUJJVCgnTFRNJywnMCcsJy0xMCcsJ0NZJywnUE9SVEFHRycpOw==&amp;_ticker=FI1305US&amp;display_string=audit&amp;HEIGHT=800&amp;WIDTH=1200&amp;WINDOW=POPUP" TargetMode="External"/><Relationship Id="rId50" Type="http://schemas.openxmlformats.org/officeDocument/2006/relationships/hyperlink" Target="https://my.apps.factset.com/cpe-built-apps-server/fma-audit-report/index.html?_calendar=FIVEDAY&amp;_index=5&amp;_query=Rk1BX0VCSVRfSU5UX0VYUCgnTFRNJywnMCcsJy0xMCcsJ0NZJywnUE9SVEFHRycpOw==&amp;_ticker=FI1305US&amp;display_string=audit&amp;HEIGHT=800&amp;WIDTH=1200&amp;WINDOW=POPUP" TargetMode="External"/><Relationship Id="rId55" Type="http://schemas.openxmlformats.org/officeDocument/2006/relationships/hyperlink" Target="https://my.apps.factset.com/cpe-built-apps-server/fma-audit-report/index.html?_calendar=FIVEDAY&amp;_index=10&amp;_query=Rk1BX0VCSVRfSU5UX0VYUCgnTFRNJywnMCcsJy0xMCcsJ0NZJywnUE9SVEFHRycpOw==&amp;_ticker=FI1305US&amp;display_string=audit&amp;HEIGHT=800&amp;WIDTH=1200&amp;WINDOW=POPUP" TargetMode="External"/><Relationship Id="rId76" Type="http://schemas.openxmlformats.org/officeDocument/2006/relationships/hyperlink" Target="https://my.apps.factset.com/cpe-built-apps-server/fma-audit-report/index.html?_calendar=FIVEDAY&amp;_index=9&amp;_query=Rk1BX09QRVJfQ0ZfSU5UX0VYUCgnTFRNJywnMCcsJy0xMCcsJ0NZJywnTE9DQUwnLCdQT1JUQUdHJywnTUVBTlInKTs=&amp;_ticker=FI1305US&amp;display_string=audit&amp;HEIGHT=800&amp;WIDTH=1200&amp;WINDOW=POPUP" TargetMode="External"/><Relationship Id="rId97" Type="http://schemas.openxmlformats.org/officeDocument/2006/relationships/hyperlink" Target="https://my.apps.factset.com/cpe-built-apps-server/fma-audit-report/index.html?_calendar=FIVEDAY&amp;_index=8&amp;_query=Rk1BX05ERUJUX0ZGTygnTFRNJywnMCcsJy0xMCcsJ0NZJywnTE9DQUwnLCdQT1JUQUdHJywnTUVBTlInKTs=&amp;_ticker=FI1305US&amp;display_string=audit&amp;HEIGHT=800&amp;WIDTH=1200&amp;WINDOW=POPUP" TargetMode="External"/><Relationship Id="rId104" Type="http://schemas.openxmlformats.org/officeDocument/2006/relationships/hyperlink" Target="https://my.apps.factset.com/cpe-built-apps-server/fma-audit-report/index.html?_calendar=FIVEDAY&amp;_index=4&amp;_query=Rk1BX0xURF9GRk8oJ0xUTScsJzAnLCctMTAnLCdDWScsJ0xPQ0FMJywnUE9SVEFHRycsJ01FQU5SJyk7&amp;_ticker=FI1305US&amp;display_string=audit&amp;HEIGHT=800&amp;WIDTH=1200&amp;WINDOW=POPUP" TargetMode="External"/><Relationship Id="rId120" Type="http://schemas.openxmlformats.org/officeDocument/2006/relationships/hyperlink" Target="https://my.apps.factset.com/cpe-built-apps-server/fma-audit-report/index.html?_calendar=FIVEDAY&amp;_index=9&amp;_query=Rk1BX0ZDRl9ERUJUKCdMVE0nLCcwJywnLTEwJywnQ1knLCdQT1JUQUdHJyk7&amp;_ticker=FI1305US&amp;display_string=audit&amp;HEIGHT=800&amp;WIDTH=1200&amp;WINDOW=POPUP" TargetMode="External"/><Relationship Id="rId125" Type="http://schemas.openxmlformats.org/officeDocument/2006/relationships/hyperlink" Target="https://my.apps.factset.com/cpe-built-apps-server/fma-audit-report/index.html?_calendar=FIVEDAY&amp;_index=3&amp;_query=Rk1BX09QRVJfQ0ZfREVCVCgnTFRNJywnMCcsJy0xMCcsJ0NZJywnTE9DQUwnLCdQT1JUQUdHJywnTUVBTlInKTs=&amp;_ticker=FI1305US&amp;display_string=audit&amp;HEIGHT=800&amp;WIDTH=1200&amp;WINDOW=POPUP" TargetMode="External"/><Relationship Id="rId7" Type="http://schemas.openxmlformats.org/officeDocument/2006/relationships/hyperlink" Target="https://my.apps.factset.com/cpe-built-apps-server/fma-audit-report/index.html?_calendar=FIVEDAY&amp;_index=6&amp;_query=Rk1BX05ERUJUX0VCSVREQSgnTFRNJywnMCcsJy0xMCcsJ0NZJywsJ1BPUlRBR0cnLCdNRUFOUicpOw==&amp;_ticker=FI1305US&amp;display_string=audit&amp;HEIGHT=800&amp;WIDTH=1200&amp;WINDOW=POPUP" TargetMode="External"/><Relationship Id="rId71" Type="http://schemas.openxmlformats.org/officeDocument/2006/relationships/hyperlink" Target="https://my.apps.factset.com/cpe-built-apps-server/fma-audit-report/index.html?_calendar=FIVEDAY&amp;_index=4&amp;_query=Rk1BX09QRVJfQ0ZfSU5UX0VYUCgnTFRNJywnMCcsJy0xMCcsJ0NZJywnTE9DQUwnLCdQT1JUQUdHJywnTUVBTlInKTs=&amp;_ticker=FI1305US&amp;display_string=audit&amp;HEIGHT=800&amp;WIDTH=1200&amp;WINDOW=POPUP" TargetMode="External"/><Relationship Id="rId92" Type="http://schemas.openxmlformats.org/officeDocument/2006/relationships/hyperlink" Target="https://my.apps.factset.com/cpe-built-apps-server/fma-audit-report/index.html?_calendar=FIVEDAY&amp;_index=3&amp;_query=Rk1BX05ERUJUX0ZGTygnTFRNJywnMCcsJy0xMCcsJ0NZJywnTE9DQUwnLCdQT1JUQUdHJywnTUVBTlInKTs=&amp;_ticker=FI1305US&amp;display_string=audit&amp;HEIGHT=800&amp;WIDTH=1200&amp;WINDOW=POPUP" TargetMode="External"/><Relationship Id="rId2" Type="http://schemas.openxmlformats.org/officeDocument/2006/relationships/hyperlink" Target="https://my.apps.factset.com/cpe-built-apps-server/fma-audit-report/index.html?_calendar=FIVEDAY&amp;_index=1&amp;_query=Rk1BX05ERUJUX0VCSVREQSgnTFRNJywnMCcsJy0xMCcsJ0NZJywsJ1BPUlRBR0cnLCdNRUFOUicpOw==&amp;_ticker=FI1305US&amp;display_string=audit&amp;HEIGHT=800&amp;WIDTH=1200&amp;WINDOW=POPUP" TargetMode="External"/><Relationship Id="rId29" Type="http://schemas.openxmlformats.org/officeDocument/2006/relationships/hyperlink" Target="https://my.apps.factset.com/cpe-built-apps-server/fma-audit-report/index.html?_calendar=FIVEDAY&amp;_index=6&amp;_query=Rk1BX0RFQlRfRUJJVERBKCdMVE0nLCcwJywnLTEwJywnQ1knLCdQT1JUQUdHJyk7&amp;_ticker=FI1305US&amp;display_string=audit&amp;HEIGHT=800&amp;WIDTH=1200&amp;WINDOW=POPUP" TargetMode="External"/><Relationship Id="rId24" Type="http://schemas.openxmlformats.org/officeDocument/2006/relationships/hyperlink" Target="https://my.apps.factset.com/cpe-built-apps-server/fma-audit-report/index.html?_calendar=FIVEDAY&amp;_index=1&amp;_query=Rk1BX0RFQlRfRUJJVERBKCdMVE0nLCcwJywnLTEwJywnQ1knLCdQT1JUQUdHJyk7&amp;_ticker=FI1305US&amp;display_string=audit&amp;HEIGHT=800&amp;WIDTH=1200&amp;WINDOW=POPUP" TargetMode="External"/><Relationship Id="rId40" Type="http://schemas.openxmlformats.org/officeDocument/2006/relationships/hyperlink" Target="https://my.apps.factset.com/cpe-built-apps-server/fma-audit-report/index.html?_calendar=FIVEDAY&amp;_index=6&amp;_query=Rk1BX0RFQlRfRUJJVCgnTFRNJywnMCcsJy0xMCcsJ0NZJywnUE9SVEFHRycpOw==&amp;_ticker=FI1305US&amp;display_string=audit&amp;HEIGHT=800&amp;WIDTH=1200&amp;WINDOW=POPUP" TargetMode="External"/><Relationship Id="rId45" Type="http://schemas.openxmlformats.org/officeDocument/2006/relationships/hyperlink" Target="https://my.apps.factset.com/cpe-built-apps-server/fma-audit-report/index.html?_calendar=FIVEDAY&amp;_index=0&amp;_query=Rk1BX0VCSVRfSU5UX0VYUCgnTFRNJywnMCcsJy0xMCcsJ0NZJywnUE9SVEFHRycpOw==&amp;_ticker=FI1305US&amp;display_string=audit&amp;HEIGHT=800&amp;WIDTH=1200&amp;WINDOW=POPUP" TargetMode="External"/><Relationship Id="rId66" Type="http://schemas.openxmlformats.org/officeDocument/2006/relationships/hyperlink" Target="https://my.apps.factset.com/cpe-built-apps-server/fma-audit-report/index.html?_calendar=FIVEDAY&amp;_index=10&amp;_query=Rk1BX0VCSVREQV9JTlRfRVhQKCdMVE0nLCcwJywnLTEwJywnQ1knLCdQT1JUQUdHJyk7&amp;_ticker=FI1305US&amp;display_string=audit&amp;HEIGHT=800&amp;WIDTH=1200&amp;WINDOW=POPUP" TargetMode="External"/><Relationship Id="rId87" Type="http://schemas.openxmlformats.org/officeDocument/2006/relationships/hyperlink" Target="https://my.apps.factset.com/cpe-built-apps-server/fma-audit-report/index.html?_calendar=FIVEDAY&amp;_index=9&amp;_query=Rk1BX0xURF9FQklUREEoJ0xUTScsJzAnLCctMTAnLCdDWScsJ0xPQ0FMJywnUE9SVEFHRycsJ01FQU5SJyk7&amp;_ticker=FI1305US&amp;display_string=audit&amp;HEIGHT=800&amp;WIDTH=1200&amp;WINDOW=POPUP" TargetMode="External"/><Relationship Id="rId110" Type="http://schemas.openxmlformats.org/officeDocument/2006/relationships/hyperlink" Target="https://my.apps.factset.com/cpe-built-apps-server/fma-audit-report/index.html?_calendar=FIVEDAY&amp;_index=10&amp;_query=Rk1BX0xURF9GRk8oJ0xUTScsJzAnLCctMTAnLCdDWScsJ0xPQ0FMJywnUE9SVEFHRycsJ01FQU5SJyk7&amp;_ticker=FI1305US&amp;display_string=audit&amp;HEIGHT=800&amp;WIDTH=1200&amp;WINDOW=POPUP" TargetMode="External"/><Relationship Id="rId115" Type="http://schemas.openxmlformats.org/officeDocument/2006/relationships/hyperlink" Target="https://my.apps.factset.com/cpe-built-apps-server/fma-audit-report/index.html?_calendar=FIVEDAY&amp;_index=4&amp;_query=Rk1BX0ZDRl9ERUJUKCdMVE0nLCcwJywnLTEwJywnQ1knLCdQT1JUQUdHJyk7&amp;_ticker=FI1305US&amp;display_string=audit&amp;HEIGHT=800&amp;WIDTH=1200&amp;WINDOW=POPUP" TargetMode="External"/><Relationship Id="rId131" Type="http://schemas.openxmlformats.org/officeDocument/2006/relationships/hyperlink" Target="https://my.apps.factset.com/cpe-built-apps-server/fma-audit-report/index.html?_calendar=FIVEDAY&amp;_index=9&amp;_query=Rk1BX09QRVJfQ0ZfREVCVCgnTFRNJywnMCcsJy0xMCcsJ0NZJywnTE9DQUwnLCdQT1JUQUdHJywnTUVBTlInKTs=&amp;_ticker=FI1305US&amp;display_string=audit&amp;HEIGHT=800&amp;WIDTH=1200&amp;WINDOW=POPUP" TargetMode="External"/><Relationship Id="rId61" Type="http://schemas.openxmlformats.org/officeDocument/2006/relationships/hyperlink" Target="https://my.apps.factset.com/cpe-built-apps-server/fma-audit-report/index.html?_calendar=FIVEDAY&amp;_index=5&amp;_query=Rk1BX0VCSVREQV9JTlRfRVhQKCdMVE0nLCcwJywnLTEwJywnQ1knLCdQT1JUQUdHJyk7&amp;_ticker=FI1305US&amp;display_string=audit&amp;HEIGHT=800&amp;WIDTH=1200&amp;WINDOW=POPUP" TargetMode="External"/><Relationship Id="rId82" Type="http://schemas.openxmlformats.org/officeDocument/2006/relationships/hyperlink" Target="https://my.apps.factset.com/cpe-built-apps-server/fma-audit-report/index.html?_calendar=FIVEDAY&amp;_index=4&amp;_query=Rk1BX0xURF9FQklUREEoJ0xUTScsJzAnLCctMTAnLCdDWScsJ0xPQ0FMJywnUE9SVEFHRycsJ01FQU5SJyk7&amp;_ticker=FI1305US&amp;display_string=audit&amp;HEIGHT=800&amp;WIDTH=1200&amp;WINDOW=POPUP" TargetMode="External"/><Relationship Id="rId19" Type="http://schemas.openxmlformats.org/officeDocument/2006/relationships/hyperlink" Target="https://my.apps.factset.com/cpe-built-apps-server/fma-audit-report/index.html?_calendar=FIVEDAY&amp;_index=7&amp;_query=Rk1BX05ERUJUX0VCSVREQV9NSU5fQ0FQRVgoJ0xUTScsJzAnLCctMTAnLCdDWScsJ0xPQ0FMJywnUE9SVEFHRycsJ01FQU5SJyk7&amp;_ticker=FI1305US&amp;display_string=audit&amp;HEIGHT=800&amp;WIDTH=1200&amp;WINDOW=POPUP" TargetMode="External"/><Relationship Id="rId14" Type="http://schemas.openxmlformats.org/officeDocument/2006/relationships/hyperlink" Target="https://my.apps.factset.com/cpe-built-apps-server/fma-audit-report/index.html?_calendar=FIVEDAY&amp;_index=2&amp;_query=Rk1BX05ERUJUX0VCSVREQV9NSU5fQ0FQRVgoJ0xUTScsJzAnLCctMTAnLCdDWScsJ0xPQ0FMJywnUE9SVEFHRycsJ01FQU5SJyk7&amp;_ticker=FI1305US&amp;display_string=audit&amp;HEIGHT=800&amp;WIDTH=1200&amp;WINDOW=POPUP" TargetMode="External"/><Relationship Id="rId30" Type="http://schemas.openxmlformats.org/officeDocument/2006/relationships/hyperlink" Target="https://my.apps.factset.com/cpe-built-apps-server/fma-audit-report/index.html?_calendar=FIVEDAY&amp;_index=7&amp;_query=Rk1BX0RFQlRfRUJJVERBKCdMVE0nLCcwJywnLTEwJywnQ1knLCdQT1JUQUdHJyk7&amp;_ticker=FI1305US&amp;display_string=audit&amp;HEIGHT=800&amp;WIDTH=1200&amp;WINDOW=POPUP" TargetMode="External"/><Relationship Id="rId35" Type="http://schemas.openxmlformats.org/officeDocument/2006/relationships/hyperlink" Target="https://my.apps.factset.com/cpe-built-apps-server/fma-audit-report/index.html?_calendar=FIVEDAY&amp;_index=1&amp;_query=Rk1BX0RFQlRfRUJJVCgnTFRNJywnMCcsJy0xMCcsJ0NZJywnUE9SVEFHRycpOw==&amp;_ticker=FI1305US&amp;display_string=audit&amp;HEIGHT=800&amp;WIDTH=1200&amp;WINDOW=POPUP" TargetMode="External"/><Relationship Id="rId56" Type="http://schemas.openxmlformats.org/officeDocument/2006/relationships/hyperlink" Target="https://my.apps.factset.com/cpe-built-apps-server/fma-audit-report/index.html?_calendar=FIVEDAY&amp;_index=0&amp;_query=Rk1BX0VCSVREQV9JTlRfRVhQKCdMVE0nLCcwJywnLTEwJywnQ1knLCdQT1JUQUdHJyk7&amp;_ticker=FI1305US&amp;display_string=audit&amp;HEIGHT=800&amp;WIDTH=1200&amp;WINDOW=POPUP" TargetMode="External"/><Relationship Id="rId77" Type="http://schemas.openxmlformats.org/officeDocument/2006/relationships/hyperlink" Target="https://my.apps.factset.com/cpe-built-apps-server/fma-audit-report/index.html?_calendar=FIVEDAY&amp;_index=10&amp;_query=Rk1BX09QRVJfQ0ZfSU5UX0VYUCgnTFRNJywnMCcsJy0xMCcsJ0NZJywnTE9DQUwnLCdQT1JUQUdHJywnTUVBTlInKTs=&amp;_ticker=FI1305US&amp;display_string=audit&amp;HEIGHT=800&amp;WIDTH=1200&amp;WINDOW=POPUP" TargetMode="External"/><Relationship Id="rId100" Type="http://schemas.openxmlformats.org/officeDocument/2006/relationships/hyperlink" Target="https://my.apps.factset.com/cpe-built-apps-server/fma-audit-report/index.html?_calendar=FIVEDAY&amp;_index=0&amp;_query=Rk1BX0xURF9GRk8oJ0xUTScsJzAnLCctMTAnLCdDWScsJ0xPQ0FMJywnUE9SVEFHRycsJ01FQU5SJyk7&amp;_ticker=FI1305US&amp;display_string=audit&amp;HEIGHT=800&amp;WIDTH=1200&amp;WINDOW=POPUP" TargetMode="External"/><Relationship Id="rId105" Type="http://schemas.openxmlformats.org/officeDocument/2006/relationships/hyperlink" Target="https://my.apps.factset.com/cpe-built-apps-server/fma-audit-report/index.html?_calendar=FIVEDAY&amp;_index=5&amp;_query=Rk1BX0xURF9GRk8oJ0xUTScsJzAnLCctMTAnLCdDWScsJ0xPQ0FMJywnUE9SVEFHRycsJ01FQU5SJyk7&amp;_ticker=FI1305US&amp;display_string=audit&amp;HEIGHT=800&amp;WIDTH=1200&amp;WINDOW=POPUP" TargetMode="External"/><Relationship Id="rId126" Type="http://schemas.openxmlformats.org/officeDocument/2006/relationships/hyperlink" Target="https://my.apps.factset.com/cpe-built-apps-server/fma-audit-report/index.html?_calendar=FIVEDAY&amp;_index=4&amp;_query=Rk1BX09QRVJfQ0ZfREVCVCgnTFRNJywnMCcsJy0xMCcsJ0NZJywnTE9DQUwnLCdQT1JUQUdHJywnTUVBTlInKTs=&amp;_ticker=FI1305US&amp;display_string=audit&amp;HEIGHT=800&amp;WIDTH=1200&amp;WINDOW=POPUP" TargetMode="External"/><Relationship Id="rId8" Type="http://schemas.openxmlformats.org/officeDocument/2006/relationships/hyperlink" Target="https://my.apps.factset.com/cpe-built-apps-server/fma-audit-report/index.html?_calendar=FIVEDAY&amp;_index=7&amp;_query=Rk1BX05ERUJUX0VCSVREQSgnTFRNJywnMCcsJy0xMCcsJ0NZJywsJ1BPUlRBR0cnLCdNRUFOUicpOw==&amp;_ticker=FI1305US&amp;display_string=audit&amp;HEIGHT=800&amp;WIDTH=1200&amp;WINDOW=POPUP" TargetMode="External"/><Relationship Id="rId51" Type="http://schemas.openxmlformats.org/officeDocument/2006/relationships/hyperlink" Target="https://my.apps.factset.com/cpe-built-apps-server/fma-audit-report/index.html?_calendar=FIVEDAY&amp;_index=6&amp;_query=Rk1BX0VCSVRfSU5UX0VYUCgnTFRNJywnMCcsJy0xMCcsJ0NZJywnUE9SVEFHRycpOw==&amp;_ticker=FI1305US&amp;display_string=audit&amp;HEIGHT=800&amp;WIDTH=1200&amp;WINDOW=POPUP" TargetMode="External"/><Relationship Id="rId72" Type="http://schemas.openxmlformats.org/officeDocument/2006/relationships/hyperlink" Target="https://my.apps.factset.com/cpe-built-apps-server/fma-audit-report/index.html?_calendar=FIVEDAY&amp;_index=5&amp;_query=Rk1BX09QRVJfQ0ZfSU5UX0VYUCgnTFRNJywnMCcsJy0xMCcsJ0NZJywnTE9DQUwnLCdQT1JUQUdHJywnTUVBTlInKTs=&amp;_ticker=FI1305US&amp;display_string=audit&amp;HEIGHT=800&amp;WIDTH=1200&amp;WINDOW=POPUP" TargetMode="External"/><Relationship Id="rId93" Type="http://schemas.openxmlformats.org/officeDocument/2006/relationships/hyperlink" Target="https://my.apps.factset.com/cpe-built-apps-server/fma-audit-report/index.html?_calendar=FIVEDAY&amp;_index=4&amp;_query=Rk1BX05ERUJUX0ZGTygnTFRNJywnMCcsJy0xMCcsJ0NZJywnTE9DQUwnLCdQT1JUQUdHJywnTUVBTlInKTs=&amp;_ticker=FI1305US&amp;display_string=audit&amp;HEIGHT=800&amp;WIDTH=1200&amp;WINDOW=POPUP" TargetMode="External"/><Relationship Id="rId98" Type="http://schemas.openxmlformats.org/officeDocument/2006/relationships/hyperlink" Target="https://my.apps.factset.com/cpe-built-apps-server/fma-audit-report/index.html?_calendar=FIVEDAY&amp;_index=9&amp;_query=Rk1BX05ERUJUX0ZGTygnTFRNJywnMCcsJy0xMCcsJ0NZJywnTE9DQUwnLCdQT1JUQUdHJywnTUVBTlInKTs=&amp;_ticker=FI1305US&amp;display_string=audit&amp;HEIGHT=800&amp;WIDTH=1200&amp;WINDOW=POPUP" TargetMode="External"/><Relationship Id="rId121" Type="http://schemas.openxmlformats.org/officeDocument/2006/relationships/hyperlink" Target="https://my.apps.factset.com/cpe-built-apps-server/fma-audit-report/index.html?_calendar=FIVEDAY&amp;_index=10&amp;_query=Rk1BX0ZDRl9ERUJUKCdMVE0nLCcwJywnLTEwJywnQ1knLCdQT1JUQUdHJyk7&amp;_ticker=FI1305US&amp;display_string=audit&amp;HEIGHT=800&amp;WIDTH=1200&amp;WINDOW=POPUP" TargetMode="External"/><Relationship Id="rId3" Type="http://schemas.openxmlformats.org/officeDocument/2006/relationships/hyperlink" Target="https://my.apps.factset.com/cpe-built-apps-server/fma-audit-report/index.html?_calendar=FIVEDAY&amp;_index=2&amp;_query=Rk1BX05ERUJUX0VCSVREQSgnTFRNJywnMCcsJy0xMCcsJ0NZJywsJ1BPUlRBR0cnLCdNRUFOUicpOw==&amp;_ticker=FI1305US&amp;display_string=audit&amp;HEIGHT=800&amp;WIDTH=1200&amp;WINDOW=POPUP" TargetMode="External"/><Relationship Id="rId25" Type="http://schemas.openxmlformats.org/officeDocument/2006/relationships/hyperlink" Target="https://my.apps.factset.com/cpe-built-apps-server/fma-audit-report/index.html?_calendar=FIVEDAY&amp;_index=2&amp;_query=Rk1BX0RFQlRfRUJJVERBKCdMVE0nLCcwJywnLTEwJywnQ1knLCdQT1JUQUdHJyk7&amp;_ticker=FI1305US&amp;display_string=audit&amp;HEIGHT=800&amp;WIDTH=1200&amp;WINDOW=POPUP" TargetMode="External"/><Relationship Id="rId46" Type="http://schemas.openxmlformats.org/officeDocument/2006/relationships/hyperlink" Target="https://my.apps.factset.com/cpe-built-apps-server/fma-audit-report/index.html?_calendar=FIVEDAY&amp;_index=1&amp;_query=Rk1BX0VCSVRfSU5UX0VYUCgnTFRNJywnMCcsJy0xMCcsJ0NZJywnUE9SVEFHRycpOw==&amp;_ticker=FI1305US&amp;display_string=audit&amp;HEIGHT=800&amp;WIDTH=1200&amp;WINDOW=POPUP" TargetMode="External"/><Relationship Id="rId67" Type="http://schemas.openxmlformats.org/officeDocument/2006/relationships/hyperlink" Target="https://my.apps.factset.com/cpe-built-apps-server/fma-audit-report/index.html?_calendar=FIVEDAY&amp;_index=0&amp;_query=Rk1BX09QRVJfQ0ZfSU5UX0VYUCgnTFRNJywnMCcsJy0xMCcsJ0NZJywnTE9DQUwnLCdQT1JUQUdHJywnTUVBTlInKTs=&amp;_ticker=FI1305US&amp;display_string=audit&amp;HEIGHT=800&amp;WIDTH=1200&amp;WINDOW=POPUP" TargetMode="External"/><Relationship Id="rId116" Type="http://schemas.openxmlformats.org/officeDocument/2006/relationships/hyperlink" Target="https://my.apps.factset.com/cpe-built-apps-server/fma-audit-report/index.html?_calendar=FIVEDAY&amp;_index=5&amp;_query=Rk1BX0ZDRl9ERUJUKCdMVE0nLCcwJywnLTEwJywnQ1knLCdQT1JUQUdHJyk7&amp;_ticker=FI1305US&amp;display_string=audit&amp;HEIGHT=800&amp;WIDTH=1200&amp;WINDOW=POPUP" TargetMode="External"/><Relationship Id="rId20" Type="http://schemas.openxmlformats.org/officeDocument/2006/relationships/hyperlink" Target="https://my.apps.factset.com/cpe-built-apps-server/fma-audit-report/index.html?_calendar=FIVEDAY&amp;_index=8&amp;_query=Rk1BX05ERUJUX0VCSVREQV9NSU5fQ0FQRVgoJ0xUTScsJzAnLCctMTAnLCdDWScsJ0xPQ0FMJywnUE9SVEFHRycsJ01FQU5SJyk7&amp;_ticker=FI1305US&amp;display_string=audit&amp;HEIGHT=800&amp;WIDTH=1200&amp;WINDOW=POPUP" TargetMode="External"/><Relationship Id="rId41" Type="http://schemas.openxmlformats.org/officeDocument/2006/relationships/hyperlink" Target="https://my.apps.factset.com/cpe-built-apps-server/fma-audit-report/index.html?_calendar=FIVEDAY&amp;_index=7&amp;_query=Rk1BX0RFQlRfRUJJVCgnTFRNJywnMCcsJy0xMCcsJ0NZJywnUE9SVEFHRycpOw==&amp;_ticker=FI1305US&amp;display_string=audit&amp;HEIGHT=800&amp;WIDTH=1200&amp;WINDOW=POPUP" TargetMode="External"/><Relationship Id="rId62" Type="http://schemas.openxmlformats.org/officeDocument/2006/relationships/hyperlink" Target="https://my.apps.factset.com/cpe-built-apps-server/fma-audit-report/index.html?_calendar=FIVEDAY&amp;_index=6&amp;_query=Rk1BX0VCSVREQV9JTlRfRVhQKCdMVE0nLCcwJywnLTEwJywnQ1knLCdQT1JUQUdHJyk7&amp;_ticker=FI1305US&amp;display_string=audit&amp;HEIGHT=800&amp;WIDTH=1200&amp;WINDOW=POPUP" TargetMode="External"/><Relationship Id="rId83" Type="http://schemas.openxmlformats.org/officeDocument/2006/relationships/hyperlink" Target="https://my.apps.factset.com/cpe-built-apps-server/fma-audit-report/index.html?_calendar=FIVEDAY&amp;_index=5&amp;_query=Rk1BX0xURF9FQklUREEoJ0xUTScsJzAnLCctMTAnLCdDWScsJ0xPQ0FMJywnUE9SVEFHRycsJ01FQU5SJyk7&amp;_ticker=FI1305US&amp;display_string=audit&amp;HEIGHT=800&amp;WIDTH=1200&amp;WINDOW=POPUP" TargetMode="External"/><Relationship Id="rId88" Type="http://schemas.openxmlformats.org/officeDocument/2006/relationships/hyperlink" Target="https://my.apps.factset.com/cpe-built-apps-server/fma-audit-report/index.html?_calendar=FIVEDAY&amp;_index=10&amp;_query=Rk1BX0xURF9FQklUREEoJ0xUTScsJzAnLCctMTAnLCdDWScsJ0xPQ0FMJywnUE9SVEFHRycsJ01FQU5SJyk7&amp;_ticker=FI1305US&amp;display_string=audit&amp;HEIGHT=800&amp;WIDTH=1200&amp;WINDOW=POPUP" TargetMode="External"/><Relationship Id="rId111" Type="http://schemas.openxmlformats.org/officeDocument/2006/relationships/hyperlink" Target="https://my.apps.factset.com/cpe-built-apps-server/fma-audit-report/index.html?_calendar=FIVEDAY&amp;_index=0&amp;_query=Rk1BX0ZDRl9ERUJUKCdMVE0nLCcwJywnLTEwJywnQ1knLCdQT1JUQUdHJyk7&amp;_ticker=FI1305US&amp;display_string=audit&amp;HEIGHT=800&amp;WIDTH=1200&amp;WINDOW=POPUP" TargetMode="External"/><Relationship Id="rId132" Type="http://schemas.openxmlformats.org/officeDocument/2006/relationships/hyperlink" Target="https://my.apps.factset.com/cpe-built-apps-server/fma-audit-report/index.html?_calendar=FIVEDAY&amp;_index=10&amp;_query=Rk1BX09QRVJfQ0ZfREVCVCgnTFRNJywnMCcsJy0xMCcsJ0NZJywnTE9DQUwnLCdQT1JUQUdHJywnTUVBTlInKTs=&amp;_ticker=FI1305US&amp;display_string=audit&amp;HEIGHT=800&amp;WIDTH=1200&amp;WINDOW=POPUP" TargetMode="External"/><Relationship Id="rId15" Type="http://schemas.openxmlformats.org/officeDocument/2006/relationships/hyperlink" Target="https://my.apps.factset.com/cpe-built-apps-server/fma-audit-report/index.html?_calendar=FIVEDAY&amp;_index=3&amp;_query=Rk1BX05ERUJUX0VCSVREQV9NSU5fQ0FQRVgoJ0xUTScsJzAnLCctMTAnLCdDWScsJ0xPQ0FMJywnUE9SVEFHRycsJ01FQU5SJyk7&amp;_ticker=FI1305US&amp;display_string=audit&amp;HEIGHT=800&amp;WIDTH=1200&amp;WINDOW=POPUP" TargetMode="External"/><Relationship Id="rId36" Type="http://schemas.openxmlformats.org/officeDocument/2006/relationships/hyperlink" Target="https://my.apps.factset.com/cpe-built-apps-server/fma-audit-report/index.html?_calendar=FIVEDAY&amp;_index=2&amp;_query=Rk1BX0RFQlRfRUJJVCgnTFRNJywnMCcsJy0xMCcsJ0NZJywnUE9SVEFHRycpOw==&amp;_ticker=FI1305US&amp;display_string=audit&amp;HEIGHT=800&amp;WIDTH=1200&amp;WINDOW=POPUP" TargetMode="External"/><Relationship Id="rId57" Type="http://schemas.openxmlformats.org/officeDocument/2006/relationships/hyperlink" Target="https://my.apps.factset.com/cpe-built-apps-server/fma-audit-report/index.html?_calendar=FIVEDAY&amp;_index=1&amp;_query=Rk1BX0VCSVREQV9JTlRfRVhQKCdMVE0nLCcwJywnLTEwJywnQ1knLCdQT1JUQUdHJyk7&amp;_ticker=FI1305US&amp;display_string=audit&amp;HEIGHT=800&amp;WIDTH=1200&amp;WINDOW=POPUP" TargetMode="External"/><Relationship Id="rId106" Type="http://schemas.openxmlformats.org/officeDocument/2006/relationships/hyperlink" Target="https://my.apps.factset.com/cpe-built-apps-server/fma-audit-report/index.html?_calendar=FIVEDAY&amp;_index=6&amp;_query=Rk1BX0xURF9GRk8oJ0xUTScsJzAnLCctMTAnLCdDWScsJ0xPQ0FMJywnUE9SVEFHRycsJ01FQU5SJyk7&amp;_ticker=FI1305US&amp;display_string=audit&amp;HEIGHT=800&amp;WIDTH=1200&amp;WINDOW=POPUP" TargetMode="External"/><Relationship Id="rId127" Type="http://schemas.openxmlformats.org/officeDocument/2006/relationships/hyperlink" Target="https://my.apps.factset.com/cpe-built-apps-server/fma-audit-report/index.html?_calendar=FIVEDAY&amp;_index=5&amp;_query=Rk1BX09QRVJfQ0ZfREVCVCgnTFRNJywnMCcsJy0xMCcsJ0NZJywnTE9DQUwnLCdQT1JUQUdHJywnTUVBTlInKTs=&amp;_ticker=FI1305US&amp;display_string=audit&amp;HEIGHT=800&amp;WIDTH=1200&amp;WINDOW=POPUP" TargetMode="External"/><Relationship Id="rId10" Type="http://schemas.openxmlformats.org/officeDocument/2006/relationships/hyperlink" Target="https://my.apps.factset.com/cpe-built-apps-server/fma-audit-report/index.html?_calendar=FIVEDAY&amp;_index=9&amp;_query=Rk1BX05ERUJUX0VCSVREQSgnTFRNJywnMCcsJy0xMCcsJ0NZJywsJ1BPUlRBR0cnLCdNRUFOUicpOw==&amp;_ticker=FI1305US&amp;display_string=audit&amp;HEIGHT=800&amp;WIDTH=1200&amp;WINDOW=POPUP" TargetMode="External"/><Relationship Id="rId31" Type="http://schemas.openxmlformats.org/officeDocument/2006/relationships/hyperlink" Target="https://my.apps.factset.com/cpe-built-apps-server/fma-audit-report/index.html?_calendar=FIVEDAY&amp;_index=8&amp;_query=Rk1BX0RFQlRfRUJJVERBKCdMVE0nLCcwJywnLTEwJywnQ1knLCdQT1JUQUdHJyk7&amp;_ticker=FI1305US&amp;display_string=audit&amp;HEIGHT=800&amp;WIDTH=1200&amp;WINDOW=POPUP" TargetMode="External"/><Relationship Id="rId52" Type="http://schemas.openxmlformats.org/officeDocument/2006/relationships/hyperlink" Target="https://my.apps.factset.com/cpe-built-apps-server/fma-audit-report/index.html?_calendar=FIVEDAY&amp;_index=7&amp;_query=Rk1BX0VCSVRfSU5UX0VYUCgnTFRNJywnMCcsJy0xMCcsJ0NZJywnUE9SVEFHRycpOw==&amp;_ticker=FI1305US&amp;display_string=audit&amp;HEIGHT=800&amp;WIDTH=1200&amp;WINDOW=POPUP" TargetMode="External"/><Relationship Id="rId73" Type="http://schemas.openxmlformats.org/officeDocument/2006/relationships/hyperlink" Target="https://my.apps.factset.com/cpe-built-apps-server/fma-audit-report/index.html?_calendar=FIVEDAY&amp;_index=6&amp;_query=Rk1BX09QRVJfQ0ZfSU5UX0VYUCgnTFRNJywnMCcsJy0xMCcsJ0NZJywnTE9DQUwnLCdQT1JUQUdHJywnTUVBTlInKTs=&amp;_ticker=FI1305US&amp;display_string=audit&amp;HEIGHT=800&amp;WIDTH=1200&amp;WINDOW=POPUP" TargetMode="External"/><Relationship Id="rId78" Type="http://schemas.openxmlformats.org/officeDocument/2006/relationships/hyperlink" Target="https://my.apps.factset.com/cpe-built-apps-server/fma-audit-report/index.html?_calendar=FIVEDAY&amp;_index=0&amp;_query=Rk1BX0xURF9FQklUREEoJ0xUTScsJzAnLCctMTAnLCdDWScsJ0xPQ0FMJywnUE9SVEFHRycsJ01FQU5SJyk7&amp;_ticker=FI1305US&amp;display_string=audit&amp;HEIGHT=800&amp;WIDTH=1200&amp;WINDOW=POPUP" TargetMode="External"/><Relationship Id="rId94" Type="http://schemas.openxmlformats.org/officeDocument/2006/relationships/hyperlink" Target="https://my.apps.factset.com/cpe-built-apps-server/fma-audit-report/index.html?_calendar=FIVEDAY&amp;_index=5&amp;_query=Rk1BX05ERUJUX0ZGTygnTFRNJywnMCcsJy0xMCcsJ0NZJywnTE9DQUwnLCdQT1JUQUdHJywnTUVBTlInKTs=&amp;_ticker=FI1305US&amp;display_string=audit&amp;HEIGHT=800&amp;WIDTH=1200&amp;WINDOW=POPUP" TargetMode="External"/><Relationship Id="rId99" Type="http://schemas.openxmlformats.org/officeDocument/2006/relationships/hyperlink" Target="https://my.apps.factset.com/cpe-built-apps-server/fma-audit-report/index.html?_calendar=FIVEDAY&amp;_index=10&amp;_query=Rk1BX05ERUJUX0ZGTygnTFRNJywnMCcsJy0xMCcsJ0NZJywnTE9DQUwnLCdQT1JUQUdHJywnTUVBTlInKTs=&amp;_ticker=FI1305US&amp;display_string=audit&amp;HEIGHT=800&amp;WIDTH=1200&amp;WINDOW=POPUP" TargetMode="External"/><Relationship Id="rId101" Type="http://schemas.openxmlformats.org/officeDocument/2006/relationships/hyperlink" Target="https://my.apps.factset.com/cpe-built-apps-server/fma-audit-report/index.html?_calendar=FIVEDAY&amp;_index=1&amp;_query=Rk1BX0xURF9GRk8oJ0xUTScsJzAnLCctMTAnLCdDWScsJ0xPQ0FMJywnUE9SVEFHRycsJ01FQU5SJyk7&amp;_ticker=FI1305US&amp;display_string=audit&amp;HEIGHT=800&amp;WIDTH=1200&amp;WINDOW=POPUP" TargetMode="External"/><Relationship Id="rId122" Type="http://schemas.openxmlformats.org/officeDocument/2006/relationships/hyperlink" Target="https://my.apps.factset.com/cpe-built-apps-server/fma-audit-report/index.html?_calendar=FIVEDAY&amp;_index=0&amp;_query=Rk1BX09QRVJfQ0ZfREVCVCgnTFRNJywnMCcsJy0xMCcsJ0NZJywnTE9DQUwnLCdQT1JUQUdHJywnTUVBTlInKTs=&amp;_ticker=FI1305US&amp;display_string=audit&amp;HEIGHT=800&amp;WIDTH=1200&amp;WINDOW=POPUP" TargetMode="External"/><Relationship Id="rId4" Type="http://schemas.openxmlformats.org/officeDocument/2006/relationships/hyperlink" Target="https://my.apps.factset.com/cpe-built-apps-server/fma-audit-report/index.html?_calendar=FIVEDAY&amp;_index=3&amp;_query=Rk1BX05ERUJUX0VCSVREQSgnTFRNJywnMCcsJy0xMCcsJ0NZJywsJ1BPUlRBR0cnLCdNRUFOUicpOw==&amp;_ticker=FI1305US&amp;display_string=audit&amp;HEIGHT=800&amp;WIDTH=1200&amp;WINDOW=POPUP" TargetMode="External"/><Relationship Id="rId9" Type="http://schemas.openxmlformats.org/officeDocument/2006/relationships/hyperlink" Target="https://my.apps.factset.com/cpe-built-apps-server/fma-audit-report/index.html?_calendar=FIVEDAY&amp;_index=8&amp;_query=Rk1BX05ERUJUX0VCSVREQSgnTFRNJywnMCcsJy0xMCcsJ0NZJywsJ1BPUlRBR0cnLCdNRUFOUicpOw==&amp;_ticker=FI1305US&amp;display_string=audit&amp;HEIGHT=800&amp;WIDTH=1200&amp;WINDOW=POPUP" TargetMode="External"/><Relationship Id="rId26" Type="http://schemas.openxmlformats.org/officeDocument/2006/relationships/hyperlink" Target="https://my.apps.factset.com/cpe-built-apps-server/fma-audit-report/index.html?_calendar=FIVEDAY&amp;_index=3&amp;_query=Rk1BX0RFQlRfRUJJVERBKCdMVE0nLCcwJywnLTEwJywnQ1knLCdQT1JUQUdHJyk7&amp;_ticker=FI1305US&amp;display_string=audit&amp;HEIGHT=800&amp;WIDTH=1200&amp;WINDOW=POPUP"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my.apps.factset.com/cpe-built-apps-server/fma-audit-report/index.html?_calendar=FIVEDAY&amp;_index=3&amp;_query=Rk1BX1BTQUxFUygnTFRNJywnMCcsJy0xMCcsJ0NZJywnUE9SVEFHRycsJ01FQU5SJyk7&amp;_ticker=FI1305US&amp;display_string=audit&amp;HEIGHT=800&amp;WIDTH=1200&amp;WINDOW=POPUP" TargetMode="External"/><Relationship Id="rId21" Type="http://schemas.openxmlformats.org/officeDocument/2006/relationships/hyperlink" Target="https://my.apps.factset.com/cpe-built-apps-server/fma-audit-report/index.html?_calendar=FIVEDAY&amp;_index=9&amp;_query=Rk1BX1BFWCgnTFRNJywnMCcsJy0xMCcsJ0NZJywnUE9SVEFHRycpOw==&amp;_ticker=FI1305US&amp;display_string=audit&amp;HEIGHT=800&amp;WIDTH=1200&amp;WINDOW=POPUP" TargetMode="External"/><Relationship Id="rId42" Type="http://schemas.openxmlformats.org/officeDocument/2006/relationships/hyperlink" Target="https://my.apps.factset.com/cpe-built-apps-server/fma-audit-report/index.html?_calendar=FIVEDAY&amp;_index=8&amp;_query=Rk1BX1BCSygnTFRNJywnMCcsJy0xMCcsJ0NZJywnUE9SVEFHRycsJ01FQU5SJyk7&amp;_ticker=FI1305US&amp;display_string=audit&amp;HEIGHT=800&amp;WIDTH=1200&amp;WINDOW=POPUP" TargetMode="External"/><Relationship Id="rId47" Type="http://schemas.openxmlformats.org/officeDocument/2006/relationships/hyperlink" Target="https://my.apps.factset.com/cpe-built-apps-server/fma-audit-report/index.html?_calendar=FIVEDAY&amp;_index=2&amp;_query=Rk1BX1BDRignTFRNJywnMCcsJy0xMCcsJ0NZJywnUE9SVEFHRycsJ01FQU5SJyk7&amp;_ticker=FI1305US&amp;display_string=audit&amp;HEIGHT=800&amp;WIDTH=1200&amp;WINDOW=POPUP" TargetMode="External"/><Relationship Id="rId63" Type="http://schemas.openxmlformats.org/officeDocument/2006/relationships/hyperlink" Target="https://my.apps.factset.com/cpe-built-apps-server/fma-audit-report/index.html?_calendar=FIVEDAY&amp;_index=7&amp;_query=Rk1BX1BDRlgoJ0xUTScsJzAnLCctMTAnLCdDWScsJ1BPUlRBR0cnKTs=&amp;_ticker=FI1305US&amp;display_string=audit&amp;HEIGHT=800&amp;WIDTH=1200&amp;WINDOW=POPUP" TargetMode="External"/><Relationship Id="rId68" Type="http://schemas.openxmlformats.org/officeDocument/2006/relationships/hyperlink" Target="https://my.apps.factset.com/cpe-built-apps-server/fma-audit-report/index.html?_calendar=FIVEDAY&amp;_index=1&amp;_query=Rk1BX1BGQ0YoJ0xUTScsJzAnLCctMTAnLCdDWScsJ1BPUlRBR0cnLCdNRUFOUicpOw==&amp;_ticker=FI1305US&amp;display_string=audit&amp;HEIGHT=800&amp;WIDTH=1200&amp;WINDOW=POPUP" TargetMode="External"/><Relationship Id="rId84" Type="http://schemas.openxmlformats.org/officeDocument/2006/relationships/hyperlink" Target="https://my.apps.factset.com/cpe-built-apps-server/fma-audit-report/index.html?_calendar=FIVEDAY&amp;_index=6&amp;_query=Rk1BX0VWQUxfRUJJVCgnTFRNJywnMCcsJy0xMCcsJ0NZJywnUE9SVEFHRycsJ01FQU5SJyk7&amp;_ticker=FI1305US&amp;display_string=audit&amp;HEIGHT=800&amp;WIDTH=1200&amp;WINDOW=POPUP" TargetMode="External"/><Relationship Id="rId89" Type="http://schemas.openxmlformats.org/officeDocument/2006/relationships/hyperlink" Target="https://my.apps.factset.com/cpe-built-apps-server/fma-audit-report/index.html?_calendar=FIVEDAY&amp;_index=0&amp;_query=Rk1BX0VWQUxfRUJJVERBKCdMVE0nLCcwJywnLTEwJywnQ1knLCdQT1JUQUdHJywnTUVBTlInKTs=&amp;_ticker=FI1305US&amp;display_string=audit&amp;HEIGHT=800&amp;WIDTH=1200&amp;WINDOW=POPUP" TargetMode="External"/><Relationship Id="rId16" Type="http://schemas.openxmlformats.org/officeDocument/2006/relationships/hyperlink" Target="https://my.apps.factset.com/cpe-built-apps-server/fma-audit-report/index.html?_calendar=FIVEDAY&amp;_index=4&amp;_query=Rk1BX1BFWCgnTFRNJywnMCcsJy0xMCcsJ0NZJywnUE9SVEFHRycpOw==&amp;_ticker=FI1305US&amp;display_string=audit&amp;HEIGHT=800&amp;WIDTH=1200&amp;WINDOW=POPUP" TargetMode="External"/><Relationship Id="rId107" Type="http://schemas.openxmlformats.org/officeDocument/2006/relationships/hyperlink" Target="https://my.apps.factset.com/cpe-built-apps-server/fma-audit-report/index.html?_calendar=FIVEDAY&amp;_index=7&amp;_query=Rk1BX0VWQUxfU0FMRVMoJ0xUTScsJzAnLCctMTAnLCdDWScsJ1BPUlRBR0cnLCdNRUFOUicpOw==&amp;_ticker=FI1305US&amp;display_string=audit&amp;HEIGHT=800&amp;WIDTH=1200&amp;WINDOW=POPUP" TargetMode="External"/><Relationship Id="rId11" Type="http://schemas.openxmlformats.org/officeDocument/2006/relationships/hyperlink" Target="https://my.apps.factset.com/cpe-built-apps-server/fma-audit-report/index.html?_calendar=FIVEDAY&amp;_index=10&amp;_query=Rk1BX1BFKCdMVE0nLCcwJywnLTEwJywnQ1knLCdQT1JUQUdHJywnTUVBTlInKTs=&amp;_ticker=FI1305US&amp;display_string=audit&amp;HEIGHT=800&amp;WIDTH=1200&amp;WINDOW=POPUP" TargetMode="External"/><Relationship Id="rId32" Type="http://schemas.openxmlformats.org/officeDocument/2006/relationships/hyperlink" Target="https://my.apps.factset.com/cpe-built-apps-server/fma-audit-report/index.html?_calendar=FIVEDAY&amp;_index=9&amp;_query=Rk1BX1BTQUxFUygnTFRNJywnMCcsJy0xMCcsJ0NZJywnUE9SVEFHRycsJ01FQU5SJyk7&amp;_ticker=FI1305US&amp;display_string=audit&amp;HEIGHT=800&amp;WIDTH=1200&amp;WINDOW=POPUP" TargetMode="External"/><Relationship Id="rId37" Type="http://schemas.openxmlformats.org/officeDocument/2006/relationships/hyperlink" Target="https://my.apps.factset.com/cpe-built-apps-server/fma-audit-report/index.html?_calendar=FIVEDAY&amp;_index=3&amp;_query=Rk1BX1BCSygnTFRNJywnMCcsJy0xMCcsJ0NZJywnUE9SVEFHRycsJ01FQU5SJyk7&amp;_ticker=FI1305US&amp;display_string=audit&amp;HEIGHT=800&amp;WIDTH=1200&amp;WINDOW=POPUP" TargetMode="External"/><Relationship Id="rId53" Type="http://schemas.openxmlformats.org/officeDocument/2006/relationships/hyperlink" Target="https://my.apps.factset.com/cpe-built-apps-server/fma-audit-report/index.html?_calendar=FIVEDAY&amp;_index=8&amp;_query=Rk1BX1BDRignTFRNJywnMCcsJy0xMCcsJ0NZJywnUE9SVEFHRycsJ01FQU5SJyk7&amp;_ticker=FI1305US&amp;display_string=audit&amp;HEIGHT=800&amp;WIDTH=1200&amp;WINDOW=POPUP" TargetMode="External"/><Relationship Id="rId58" Type="http://schemas.openxmlformats.org/officeDocument/2006/relationships/hyperlink" Target="https://my.apps.factset.com/cpe-built-apps-server/fma-audit-report/index.html?_calendar=FIVEDAY&amp;_index=2&amp;_query=Rk1BX1BDRlgoJ0xUTScsJzAnLCctMTAnLCdDWScsJ1BPUlRBR0cnKTs=&amp;_ticker=FI1305US&amp;display_string=audit&amp;HEIGHT=800&amp;WIDTH=1200&amp;WINDOW=POPUP" TargetMode="External"/><Relationship Id="rId74" Type="http://schemas.openxmlformats.org/officeDocument/2006/relationships/hyperlink" Target="https://my.apps.factset.com/cpe-built-apps-server/fma-audit-report/index.html?_calendar=FIVEDAY&amp;_index=7&amp;_query=Rk1BX1BGQ0YoJ0xUTScsJzAnLCctMTAnLCdDWScsJ1BPUlRBR0cnLCdNRUFOUicpOw==&amp;_ticker=FI1305US&amp;display_string=audit&amp;HEIGHT=800&amp;WIDTH=1200&amp;WINDOW=POPUP" TargetMode="External"/><Relationship Id="rId79" Type="http://schemas.openxmlformats.org/officeDocument/2006/relationships/hyperlink" Target="https://my.apps.factset.com/cpe-built-apps-server/fma-audit-report/index.html?_calendar=FIVEDAY&amp;_index=1&amp;_query=Rk1BX0VWQUxfRUJJVCgnTFRNJywnMCcsJy0xMCcsJ0NZJywnUE9SVEFHRycsJ01FQU5SJyk7&amp;_ticker=FI1305US&amp;display_string=audit&amp;HEIGHT=800&amp;WIDTH=1200&amp;WINDOW=POPUP" TargetMode="External"/><Relationship Id="rId102" Type="http://schemas.openxmlformats.org/officeDocument/2006/relationships/hyperlink" Target="https://my.apps.factset.com/cpe-built-apps-server/fma-audit-report/index.html?_calendar=FIVEDAY&amp;_index=2&amp;_query=Rk1BX0VWQUxfU0FMRVMoJ0xUTScsJzAnLCctMTAnLCdDWScsJ1BPUlRBR0cnLCdNRUFOUicpOw==&amp;_ticker=FI1305US&amp;display_string=audit&amp;HEIGHT=800&amp;WIDTH=1200&amp;WINDOW=POPUP" TargetMode="External"/><Relationship Id="rId5" Type="http://schemas.openxmlformats.org/officeDocument/2006/relationships/hyperlink" Target="https://my.apps.factset.com/cpe-built-apps-server/fma-audit-report/index.html?_calendar=FIVEDAY&amp;_index=4&amp;_query=Rk1BX1BFKCdMVE0nLCcwJywnLTEwJywnQ1knLCdQT1JUQUdHJywnTUVBTlInKTs=&amp;_ticker=FI1305US&amp;display_string=audit&amp;HEIGHT=800&amp;WIDTH=1200&amp;WINDOW=POPUP" TargetMode="External"/><Relationship Id="rId90" Type="http://schemas.openxmlformats.org/officeDocument/2006/relationships/hyperlink" Target="https://my.apps.factset.com/cpe-built-apps-server/fma-audit-report/index.html?_calendar=FIVEDAY&amp;_index=1&amp;_query=Rk1BX0VWQUxfRUJJVERBKCdMVE0nLCcwJywnLTEwJywnQ1knLCdQT1JUQUdHJywnTUVBTlInKTs=&amp;_ticker=FI1305US&amp;display_string=audit&amp;HEIGHT=800&amp;WIDTH=1200&amp;WINDOW=POPUP" TargetMode="External"/><Relationship Id="rId95" Type="http://schemas.openxmlformats.org/officeDocument/2006/relationships/hyperlink" Target="https://my.apps.factset.com/cpe-built-apps-server/fma-audit-report/index.html?_calendar=FIVEDAY&amp;_index=6&amp;_query=Rk1BX0VWQUxfRUJJVERBKCdMVE0nLCcwJywnLTEwJywnQ1knLCdQT1JUQUdHJywnTUVBTlInKTs=&amp;_ticker=FI1305US&amp;display_string=audit&amp;HEIGHT=800&amp;WIDTH=1200&amp;WINDOW=POPUP" TargetMode="External"/><Relationship Id="rId22" Type="http://schemas.openxmlformats.org/officeDocument/2006/relationships/hyperlink" Target="https://my.apps.factset.com/cpe-built-apps-server/fma-audit-report/index.html?_calendar=FIVEDAY&amp;_index=10&amp;_query=Rk1BX1BFWCgnTFRNJywnMCcsJy0xMCcsJ0NZJywnUE9SVEFHRycpOw==&amp;_ticker=FI1305US&amp;display_string=audit&amp;HEIGHT=800&amp;WIDTH=1200&amp;WINDOW=POPUP" TargetMode="External"/><Relationship Id="rId27" Type="http://schemas.openxmlformats.org/officeDocument/2006/relationships/hyperlink" Target="https://my.apps.factset.com/cpe-built-apps-server/fma-audit-report/index.html?_calendar=FIVEDAY&amp;_index=4&amp;_query=Rk1BX1BTQUxFUygnTFRNJywnMCcsJy0xMCcsJ0NZJywnUE9SVEFHRycsJ01FQU5SJyk7&amp;_ticker=FI1305US&amp;display_string=audit&amp;HEIGHT=800&amp;WIDTH=1200&amp;WINDOW=POPUP" TargetMode="External"/><Relationship Id="rId43" Type="http://schemas.openxmlformats.org/officeDocument/2006/relationships/hyperlink" Target="https://my.apps.factset.com/cpe-built-apps-server/fma-audit-report/index.html?_calendar=FIVEDAY&amp;_index=9&amp;_query=Rk1BX1BCSygnTFRNJywnMCcsJy0xMCcsJ0NZJywnUE9SVEFHRycsJ01FQU5SJyk7&amp;_ticker=FI1305US&amp;display_string=audit&amp;HEIGHT=800&amp;WIDTH=1200&amp;WINDOW=POPUP" TargetMode="External"/><Relationship Id="rId48" Type="http://schemas.openxmlformats.org/officeDocument/2006/relationships/hyperlink" Target="https://my.apps.factset.com/cpe-built-apps-server/fma-audit-report/index.html?_calendar=FIVEDAY&amp;_index=3&amp;_query=Rk1BX1BDRignTFRNJywnMCcsJy0xMCcsJ0NZJywnUE9SVEFHRycsJ01FQU5SJyk7&amp;_ticker=FI1305US&amp;display_string=audit&amp;HEIGHT=800&amp;WIDTH=1200&amp;WINDOW=POPUP" TargetMode="External"/><Relationship Id="rId64" Type="http://schemas.openxmlformats.org/officeDocument/2006/relationships/hyperlink" Target="https://my.apps.factset.com/cpe-built-apps-server/fma-audit-report/index.html?_calendar=FIVEDAY&amp;_index=8&amp;_query=Rk1BX1BDRlgoJ0xUTScsJzAnLCctMTAnLCdDWScsJ1BPUlRBR0cnKTs=&amp;_ticker=FI1305US&amp;display_string=audit&amp;HEIGHT=800&amp;WIDTH=1200&amp;WINDOW=POPUP" TargetMode="External"/><Relationship Id="rId69" Type="http://schemas.openxmlformats.org/officeDocument/2006/relationships/hyperlink" Target="https://my.apps.factset.com/cpe-built-apps-server/fma-audit-report/index.html?_calendar=FIVEDAY&amp;_index=2&amp;_query=Rk1BX1BGQ0YoJ0xUTScsJzAnLCctMTAnLCdDWScsJ1BPUlRBR0cnLCdNRUFOUicpOw==&amp;_ticker=FI1305US&amp;display_string=audit&amp;HEIGHT=800&amp;WIDTH=1200&amp;WINDOW=POPUP" TargetMode="External"/><Relationship Id="rId80" Type="http://schemas.openxmlformats.org/officeDocument/2006/relationships/hyperlink" Target="https://my.apps.factset.com/cpe-built-apps-server/fma-audit-report/index.html?_calendar=FIVEDAY&amp;_index=2&amp;_query=Rk1BX0VWQUxfRUJJVCgnTFRNJywnMCcsJy0xMCcsJ0NZJywnUE9SVEFHRycsJ01FQU5SJyk7&amp;_ticker=FI1305US&amp;display_string=audit&amp;HEIGHT=800&amp;WIDTH=1200&amp;WINDOW=POPUP" TargetMode="External"/><Relationship Id="rId85" Type="http://schemas.openxmlformats.org/officeDocument/2006/relationships/hyperlink" Target="https://my.apps.factset.com/cpe-built-apps-server/fma-audit-report/index.html?_calendar=FIVEDAY&amp;_index=7&amp;_query=Rk1BX0VWQUxfRUJJVCgnTFRNJywnMCcsJy0xMCcsJ0NZJywnUE9SVEFHRycsJ01FQU5SJyk7&amp;_ticker=FI1305US&amp;display_string=audit&amp;HEIGHT=800&amp;WIDTH=1200&amp;WINDOW=POPUP" TargetMode="External"/><Relationship Id="rId12" Type="http://schemas.openxmlformats.org/officeDocument/2006/relationships/hyperlink" Target="https://my.apps.factset.com/cpe-built-apps-server/fma-audit-report/index.html?_calendar=FIVEDAY&amp;_index=0&amp;_query=Rk1BX1BFWCgnTFRNJywnMCcsJy0xMCcsJ0NZJywnUE9SVEFHRycpOw==&amp;_ticker=FI1305US&amp;display_string=audit&amp;HEIGHT=800&amp;WIDTH=1200&amp;WINDOW=POPUP" TargetMode="External"/><Relationship Id="rId17" Type="http://schemas.openxmlformats.org/officeDocument/2006/relationships/hyperlink" Target="https://my.apps.factset.com/cpe-built-apps-server/fma-audit-report/index.html?_calendar=FIVEDAY&amp;_index=5&amp;_query=Rk1BX1BFWCgnTFRNJywnMCcsJy0xMCcsJ0NZJywnUE9SVEFHRycpOw==&amp;_ticker=FI1305US&amp;display_string=audit&amp;HEIGHT=800&amp;WIDTH=1200&amp;WINDOW=POPUP" TargetMode="External"/><Relationship Id="rId33" Type="http://schemas.openxmlformats.org/officeDocument/2006/relationships/hyperlink" Target="https://my.apps.factset.com/cpe-built-apps-server/fma-audit-report/index.html?_calendar=FIVEDAY&amp;_index=10&amp;_query=Rk1BX1BTQUxFUygnTFRNJywnMCcsJy0xMCcsJ0NZJywnUE9SVEFHRycsJ01FQU5SJyk7&amp;_ticker=FI1305US&amp;display_string=audit&amp;HEIGHT=800&amp;WIDTH=1200&amp;WINDOW=POPUP" TargetMode="External"/><Relationship Id="rId38" Type="http://schemas.openxmlformats.org/officeDocument/2006/relationships/hyperlink" Target="https://my.apps.factset.com/cpe-built-apps-server/fma-audit-report/index.html?_calendar=FIVEDAY&amp;_index=4&amp;_query=Rk1BX1BCSygnTFRNJywnMCcsJy0xMCcsJ0NZJywnUE9SVEFHRycsJ01FQU5SJyk7&amp;_ticker=FI1305US&amp;display_string=audit&amp;HEIGHT=800&amp;WIDTH=1200&amp;WINDOW=POPUP" TargetMode="External"/><Relationship Id="rId59" Type="http://schemas.openxmlformats.org/officeDocument/2006/relationships/hyperlink" Target="https://my.apps.factset.com/cpe-built-apps-server/fma-audit-report/index.html?_calendar=FIVEDAY&amp;_index=3&amp;_query=Rk1BX1BDRlgoJ0xUTScsJzAnLCctMTAnLCdDWScsJ1BPUlRBR0cnKTs=&amp;_ticker=FI1305US&amp;display_string=audit&amp;HEIGHT=800&amp;WIDTH=1200&amp;WINDOW=POPUP" TargetMode="External"/><Relationship Id="rId103" Type="http://schemas.openxmlformats.org/officeDocument/2006/relationships/hyperlink" Target="https://my.apps.factset.com/cpe-built-apps-server/fma-audit-report/index.html?_calendar=FIVEDAY&amp;_index=3&amp;_query=Rk1BX0VWQUxfU0FMRVMoJ0xUTScsJzAnLCctMTAnLCdDWScsJ1BPUlRBR0cnLCdNRUFOUicpOw==&amp;_ticker=FI1305US&amp;display_string=audit&amp;HEIGHT=800&amp;WIDTH=1200&amp;WINDOW=POPUP" TargetMode="External"/><Relationship Id="rId108" Type="http://schemas.openxmlformats.org/officeDocument/2006/relationships/hyperlink" Target="https://my.apps.factset.com/cpe-built-apps-server/fma-audit-report/index.html?_calendar=FIVEDAY&amp;_index=8&amp;_query=Rk1BX0VWQUxfU0FMRVMoJ0xUTScsJzAnLCctMTAnLCdDWScsJ1BPUlRBR0cnLCdNRUFOUicpOw==&amp;_ticker=FI1305US&amp;display_string=audit&amp;HEIGHT=800&amp;WIDTH=1200&amp;WINDOW=POPUP" TargetMode="External"/><Relationship Id="rId54" Type="http://schemas.openxmlformats.org/officeDocument/2006/relationships/hyperlink" Target="https://my.apps.factset.com/cpe-built-apps-server/fma-audit-report/index.html?_calendar=FIVEDAY&amp;_index=9&amp;_query=Rk1BX1BDRignTFRNJywnMCcsJy0xMCcsJ0NZJywnUE9SVEFHRycsJ01FQU5SJyk7&amp;_ticker=FI1305US&amp;display_string=audit&amp;HEIGHT=800&amp;WIDTH=1200&amp;WINDOW=POPUP" TargetMode="External"/><Relationship Id="rId70" Type="http://schemas.openxmlformats.org/officeDocument/2006/relationships/hyperlink" Target="https://my.apps.factset.com/cpe-built-apps-server/fma-audit-report/index.html?_calendar=FIVEDAY&amp;_index=3&amp;_query=Rk1BX1BGQ0YoJ0xUTScsJzAnLCctMTAnLCdDWScsJ1BPUlRBR0cnLCdNRUFOUicpOw==&amp;_ticker=FI1305US&amp;display_string=audit&amp;HEIGHT=800&amp;WIDTH=1200&amp;WINDOW=POPUP" TargetMode="External"/><Relationship Id="rId75" Type="http://schemas.openxmlformats.org/officeDocument/2006/relationships/hyperlink" Target="https://my.apps.factset.com/cpe-built-apps-server/fma-audit-report/index.html?_calendar=FIVEDAY&amp;_index=8&amp;_query=Rk1BX1BGQ0YoJ0xUTScsJzAnLCctMTAnLCdDWScsJ1BPUlRBR0cnLCdNRUFOUicpOw==&amp;_ticker=FI1305US&amp;display_string=audit&amp;HEIGHT=800&amp;WIDTH=1200&amp;WINDOW=POPUP" TargetMode="External"/><Relationship Id="rId91" Type="http://schemas.openxmlformats.org/officeDocument/2006/relationships/hyperlink" Target="https://my.apps.factset.com/cpe-built-apps-server/fma-audit-report/index.html?_calendar=FIVEDAY&amp;_index=2&amp;_query=Rk1BX0VWQUxfRUJJVERBKCdMVE0nLCcwJywnLTEwJywnQ1knLCdQT1JUQUdHJywnTUVBTlInKTs=&amp;_ticker=FI1305US&amp;display_string=audit&amp;HEIGHT=800&amp;WIDTH=1200&amp;WINDOW=POPUP" TargetMode="External"/><Relationship Id="rId96" Type="http://schemas.openxmlformats.org/officeDocument/2006/relationships/hyperlink" Target="https://my.apps.factset.com/cpe-built-apps-server/fma-audit-report/index.html?_calendar=FIVEDAY&amp;_index=7&amp;_query=Rk1BX0VWQUxfRUJJVERBKCdMVE0nLCcwJywnLTEwJywnQ1knLCdQT1JUQUdHJywnTUVBTlInKTs=&amp;_ticker=FI1305US&amp;display_string=audit&amp;HEIGHT=800&amp;WIDTH=1200&amp;WINDOW=POPUP" TargetMode="External"/><Relationship Id="rId1" Type="http://schemas.openxmlformats.org/officeDocument/2006/relationships/hyperlink" Target="https://my.apps.factset.com/cpe-built-apps-server/fma-audit-report/index.html?_calendar=FIVEDAY&amp;_index=0&amp;_query=Rk1BX1BFKCdMVE0nLCcwJywnLTEwJywnQ1knLCdQT1JUQUdHJywnTUVBTlInKTs=&amp;_ticker=FI1305US&amp;display_string=audit&amp;HEIGHT=800&amp;WIDTH=1200&amp;WINDOW=POPUP" TargetMode="External"/><Relationship Id="rId6" Type="http://schemas.openxmlformats.org/officeDocument/2006/relationships/hyperlink" Target="https://my.apps.factset.com/cpe-built-apps-server/fma-audit-report/index.html?_calendar=FIVEDAY&amp;_index=5&amp;_query=Rk1BX1BFKCdMVE0nLCcwJywnLTEwJywnQ1knLCdQT1JUQUdHJywnTUVBTlInKTs=&amp;_ticker=FI1305US&amp;display_string=audit&amp;HEIGHT=800&amp;WIDTH=1200&amp;WINDOW=POPUP" TargetMode="External"/><Relationship Id="rId15" Type="http://schemas.openxmlformats.org/officeDocument/2006/relationships/hyperlink" Target="https://my.apps.factset.com/cpe-built-apps-server/fma-audit-report/index.html?_calendar=FIVEDAY&amp;_index=3&amp;_query=Rk1BX1BFWCgnTFRNJywnMCcsJy0xMCcsJ0NZJywnUE9SVEFHRycpOw==&amp;_ticker=FI1305US&amp;display_string=audit&amp;HEIGHT=800&amp;WIDTH=1200&amp;WINDOW=POPUP" TargetMode="External"/><Relationship Id="rId23" Type="http://schemas.openxmlformats.org/officeDocument/2006/relationships/hyperlink" Target="https://my.apps.factset.com/cpe-built-apps-server/fma-audit-report/index.html?_calendar=FIVEDAY&amp;_index=0&amp;_query=Rk1BX1BTQUxFUygnTFRNJywnMCcsJy0xMCcsJ0NZJywnUE9SVEFHRycsJ01FQU5SJyk7&amp;_ticker=FI1305US&amp;display_string=audit&amp;HEIGHT=800&amp;WIDTH=1200&amp;WINDOW=POPUP" TargetMode="External"/><Relationship Id="rId28" Type="http://schemas.openxmlformats.org/officeDocument/2006/relationships/hyperlink" Target="https://my.apps.factset.com/cpe-built-apps-server/fma-audit-report/index.html?_calendar=FIVEDAY&amp;_index=5&amp;_query=Rk1BX1BTQUxFUygnTFRNJywnMCcsJy0xMCcsJ0NZJywnUE9SVEFHRycsJ01FQU5SJyk7&amp;_ticker=FI1305US&amp;display_string=audit&amp;HEIGHT=800&amp;WIDTH=1200&amp;WINDOW=POPUP" TargetMode="External"/><Relationship Id="rId36" Type="http://schemas.openxmlformats.org/officeDocument/2006/relationships/hyperlink" Target="https://my.apps.factset.com/cpe-built-apps-server/fma-audit-report/index.html?_calendar=FIVEDAY&amp;_index=2&amp;_query=Rk1BX1BCSygnTFRNJywnMCcsJy0xMCcsJ0NZJywnUE9SVEFHRycsJ01FQU5SJyk7&amp;_ticker=FI1305US&amp;display_string=audit&amp;HEIGHT=800&amp;WIDTH=1200&amp;WINDOW=POPUP" TargetMode="External"/><Relationship Id="rId49" Type="http://schemas.openxmlformats.org/officeDocument/2006/relationships/hyperlink" Target="https://my.apps.factset.com/cpe-built-apps-server/fma-audit-report/index.html?_calendar=FIVEDAY&amp;_index=4&amp;_query=Rk1BX1BDRignTFRNJywnMCcsJy0xMCcsJ0NZJywnUE9SVEFHRycsJ01FQU5SJyk7&amp;_ticker=FI1305US&amp;display_string=audit&amp;HEIGHT=800&amp;WIDTH=1200&amp;WINDOW=POPUP" TargetMode="External"/><Relationship Id="rId57" Type="http://schemas.openxmlformats.org/officeDocument/2006/relationships/hyperlink" Target="https://my.apps.factset.com/cpe-built-apps-server/fma-audit-report/index.html?_calendar=FIVEDAY&amp;_index=1&amp;_query=Rk1BX1BDRlgoJ0xUTScsJzAnLCctMTAnLCdDWScsJ1BPUlRBR0cnKTs=&amp;_ticker=FI1305US&amp;display_string=audit&amp;HEIGHT=800&amp;WIDTH=1200&amp;WINDOW=POPUP" TargetMode="External"/><Relationship Id="rId106" Type="http://schemas.openxmlformats.org/officeDocument/2006/relationships/hyperlink" Target="https://my.apps.factset.com/cpe-built-apps-server/fma-audit-report/index.html?_calendar=FIVEDAY&amp;_index=6&amp;_query=Rk1BX0VWQUxfU0FMRVMoJ0xUTScsJzAnLCctMTAnLCdDWScsJ1BPUlRBR0cnLCdNRUFOUicpOw==&amp;_ticker=FI1305US&amp;display_string=audit&amp;HEIGHT=800&amp;WIDTH=1200&amp;WINDOW=POPUP" TargetMode="External"/><Relationship Id="rId10" Type="http://schemas.openxmlformats.org/officeDocument/2006/relationships/hyperlink" Target="https://my.apps.factset.com/cpe-built-apps-server/fma-audit-report/index.html?_calendar=FIVEDAY&amp;_index=9&amp;_query=Rk1BX1BFKCdMVE0nLCcwJywnLTEwJywnQ1knLCdQT1JUQUdHJywnTUVBTlInKTs=&amp;_ticker=FI1305US&amp;display_string=audit&amp;HEIGHT=800&amp;WIDTH=1200&amp;WINDOW=POPUP" TargetMode="External"/><Relationship Id="rId31" Type="http://schemas.openxmlformats.org/officeDocument/2006/relationships/hyperlink" Target="https://my.apps.factset.com/cpe-built-apps-server/fma-audit-report/index.html?_calendar=FIVEDAY&amp;_index=8&amp;_query=Rk1BX1BTQUxFUygnTFRNJywnMCcsJy0xMCcsJ0NZJywnUE9SVEFHRycsJ01FQU5SJyk7&amp;_ticker=FI1305US&amp;display_string=audit&amp;HEIGHT=800&amp;WIDTH=1200&amp;WINDOW=POPUP" TargetMode="External"/><Relationship Id="rId44" Type="http://schemas.openxmlformats.org/officeDocument/2006/relationships/hyperlink" Target="https://my.apps.factset.com/cpe-built-apps-server/fma-audit-report/index.html?_calendar=FIVEDAY&amp;_index=10&amp;_query=Rk1BX1BCSygnTFRNJywnMCcsJy0xMCcsJ0NZJywnUE9SVEFHRycsJ01FQU5SJyk7&amp;_ticker=FI1305US&amp;display_string=audit&amp;HEIGHT=800&amp;WIDTH=1200&amp;WINDOW=POPUP" TargetMode="External"/><Relationship Id="rId52" Type="http://schemas.openxmlformats.org/officeDocument/2006/relationships/hyperlink" Target="https://my.apps.factset.com/cpe-built-apps-server/fma-audit-report/index.html?_calendar=FIVEDAY&amp;_index=7&amp;_query=Rk1BX1BDRignTFRNJywnMCcsJy0xMCcsJ0NZJywnUE9SVEFHRycsJ01FQU5SJyk7&amp;_ticker=FI1305US&amp;display_string=audit&amp;HEIGHT=800&amp;WIDTH=1200&amp;WINDOW=POPUP" TargetMode="External"/><Relationship Id="rId60" Type="http://schemas.openxmlformats.org/officeDocument/2006/relationships/hyperlink" Target="https://my.apps.factset.com/cpe-built-apps-server/fma-audit-report/index.html?_calendar=FIVEDAY&amp;_index=4&amp;_query=Rk1BX1BDRlgoJ0xUTScsJzAnLCctMTAnLCdDWScsJ1BPUlRBR0cnKTs=&amp;_ticker=FI1305US&amp;display_string=audit&amp;HEIGHT=800&amp;WIDTH=1200&amp;WINDOW=POPUP" TargetMode="External"/><Relationship Id="rId65" Type="http://schemas.openxmlformats.org/officeDocument/2006/relationships/hyperlink" Target="https://my.apps.factset.com/cpe-built-apps-server/fma-audit-report/index.html?_calendar=FIVEDAY&amp;_index=9&amp;_query=Rk1BX1BDRlgoJ0xUTScsJzAnLCctMTAnLCdDWScsJ1BPUlRBR0cnKTs=&amp;_ticker=FI1305US&amp;display_string=audit&amp;HEIGHT=800&amp;WIDTH=1200&amp;WINDOW=POPUP" TargetMode="External"/><Relationship Id="rId73" Type="http://schemas.openxmlformats.org/officeDocument/2006/relationships/hyperlink" Target="https://my.apps.factset.com/cpe-built-apps-server/fma-audit-report/index.html?_calendar=FIVEDAY&amp;_index=6&amp;_query=Rk1BX1BGQ0YoJ0xUTScsJzAnLCctMTAnLCdDWScsJ1BPUlRBR0cnLCdNRUFOUicpOw==&amp;_ticker=FI1305US&amp;display_string=audit&amp;HEIGHT=800&amp;WIDTH=1200&amp;WINDOW=POPUP" TargetMode="External"/><Relationship Id="rId78" Type="http://schemas.openxmlformats.org/officeDocument/2006/relationships/hyperlink" Target="https://my.apps.factset.com/cpe-built-apps-server/fma-audit-report/index.html?_calendar=FIVEDAY&amp;_index=0&amp;_query=Rk1BX0VWQUxfRUJJVCgnTFRNJywnMCcsJy0xMCcsJ0NZJywnUE9SVEFHRycsJ01FQU5SJyk7&amp;_ticker=FI1305US&amp;display_string=audit&amp;HEIGHT=800&amp;WIDTH=1200&amp;WINDOW=POPUP" TargetMode="External"/><Relationship Id="rId81" Type="http://schemas.openxmlformats.org/officeDocument/2006/relationships/hyperlink" Target="https://my.apps.factset.com/cpe-built-apps-server/fma-audit-report/index.html?_calendar=FIVEDAY&amp;_index=3&amp;_query=Rk1BX0VWQUxfRUJJVCgnTFRNJywnMCcsJy0xMCcsJ0NZJywnUE9SVEFHRycsJ01FQU5SJyk7&amp;_ticker=FI1305US&amp;display_string=audit&amp;HEIGHT=800&amp;WIDTH=1200&amp;WINDOW=POPUP" TargetMode="External"/><Relationship Id="rId86" Type="http://schemas.openxmlformats.org/officeDocument/2006/relationships/hyperlink" Target="https://my.apps.factset.com/cpe-built-apps-server/fma-audit-report/index.html?_calendar=FIVEDAY&amp;_index=8&amp;_query=Rk1BX0VWQUxfRUJJVCgnTFRNJywnMCcsJy0xMCcsJ0NZJywnUE9SVEFHRycsJ01FQU5SJyk7&amp;_ticker=FI1305US&amp;display_string=audit&amp;HEIGHT=800&amp;WIDTH=1200&amp;WINDOW=POPUP" TargetMode="External"/><Relationship Id="rId94" Type="http://schemas.openxmlformats.org/officeDocument/2006/relationships/hyperlink" Target="https://my.apps.factset.com/cpe-built-apps-server/fma-audit-report/index.html?_calendar=FIVEDAY&amp;_index=5&amp;_query=Rk1BX0VWQUxfRUJJVERBKCdMVE0nLCcwJywnLTEwJywnQ1knLCdQT1JUQUdHJywnTUVBTlInKTs=&amp;_ticker=FI1305US&amp;display_string=audit&amp;HEIGHT=800&amp;WIDTH=1200&amp;WINDOW=POPUP" TargetMode="External"/><Relationship Id="rId99" Type="http://schemas.openxmlformats.org/officeDocument/2006/relationships/hyperlink" Target="https://my.apps.factset.com/cpe-built-apps-server/fma-audit-report/index.html?_calendar=FIVEDAY&amp;_index=10&amp;_query=Rk1BX0VWQUxfRUJJVERBKCdMVE0nLCcwJywnLTEwJywnQ1knLCdQT1JUQUdHJywnTUVBTlInKTs=&amp;_ticker=FI1305US&amp;display_string=audit&amp;HEIGHT=800&amp;WIDTH=1200&amp;WINDOW=POPUP" TargetMode="External"/><Relationship Id="rId101" Type="http://schemas.openxmlformats.org/officeDocument/2006/relationships/hyperlink" Target="https://my.apps.factset.com/cpe-built-apps-server/fma-audit-report/index.html?_calendar=FIVEDAY&amp;_index=1&amp;_query=Rk1BX0VWQUxfU0FMRVMoJ0xUTScsJzAnLCctMTAnLCdDWScsJ1BPUlRBR0cnLCdNRUFOUicpOw==&amp;_ticker=FI1305US&amp;display_string=audit&amp;HEIGHT=800&amp;WIDTH=1200&amp;WINDOW=POPUP" TargetMode="External"/><Relationship Id="rId4" Type="http://schemas.openxmlformats.org/officeDocument/2006/relationships/hyperlink" Target="https://my.apps.factset.com/cpe-built-apps-server/fma-audit-report/index.html?_calendar=FIVEDAY&amp;_index=3&amp;_query=Rk1BX1BFKCdMVE0nLCcwJywnLTEwJywnQ1knLCdQT1JUQUdHJywnTUVBTlInKTs=&amp;_ticker=FI1305US&amp;display_string=audit&amp;HEIGHT=800&amp;WIDTH=1200&amp;WINDOW=POPUP" TargetMode="External"/><Relationship Id="rId9" Type="http://schemas.openxmlformats.org/officeDocument/2006/relationships/hyperlink" Target="https://my.apps.factset.com/cpe-built-apps-server/fma-audit-report/index.html?_calendar=FIVEDAY&amp;_index=8&amp;_query=Rk1BX1BFKCdMVE0nLCcwJywnLTEwJywnQ1knLCdQT1JUQUdHJywnTUVBTlInKTs=&amp;_ticker=FI1305US&amp;display_string=audit&amp;HEIGHT=800&amp;WIDTH=1200&amp;WINDOW=POPUP" TargetMode="External"/><Relationship Id="rId13" Type="http://schemas.openxmlformats.org/officeDocument/2006/relationships/hyperlink" Target="https://my.apps.factset.com/cpe-built-apps-server/fma-audit-report/index.html?_calendar=FIVEDAY&amp;_index=1&amp;_query=Rk1BX1BFWCgnTFRNJywnMCcsJy0xMCcsJ0NZJywnUE9SVEFHRycpOw==&amp;_ticker=FI1305US&amp;display_string=audit&amp;HEIGHT=800&amp;WIDTH=1200&amp;WINDOW=POPUP" TargetMode="External"/><Relationship Id="rId18" Type="http://schemas.openxmlformats.org/officeDocument/2006/relationships/hyperlink" Target="https://my.apps.factset.com/cpe-built-apps-server/fma-audit-report/index.html?_calendar=FIVEDAY&amp;_index=6&amp;_query=Rk1BX1BFWCgnTFRNJywnMCcsJy0xMCcsJ0NZJywnUE9SVEFHRycpOw==&amp;_ticker=FI1305US&amp;display_string=audit&amp;HEIGHT=800&amp;WIDTH=1200&amp;WINDOW=POPUP" TargetMode="External"/><Relationship Id="rId39" Type="http://schemas.openxmlformats.org/officeDocument/2006/relationships/hyperlink" Target="https://my.apps.factset.com/cpe-built-apps-server/fma-audit-report/index.html?_calendar=FIVEDAY&amp;_index=5&amp;_query=Rk1BX1BCSygnTFRNJywnMCcsJy0xMCcsJ0NZJywnUE9SVEFHRycsJ01FQU5SJyk7&amp;_ticker=FI1305US&amp;display_string=audit&amp;HEIGHT=800&amp;WIDTH=1200&amp;WINDOW=POPUP" TargetMode="External"/><Relationship Id="rId109" Type="http://schemas.openxmlformats.org/officeDocument/2006/relationships/hyperlink" Target="https://my.apps.factset.com/cpe-built-apps-server/fma-audit-report/index.html?_calendar=FIVEDAY&amp;_index=9&amp;_query=Rk1BX0VWQUxfU0FMRVMoJ0xUTScsJzAnLCctMTAnLCdDWScsJ1BPUlRBR0cnLCdNRUFOUicpOw==&amp;_ticker=FI1305US&amp;display_string=audit&amp;HEIGHT=800&amp;WIDTH=1200&amp;WINDOW=POPUP" TargetMode="External"/><Relationship Id="rId34" Type="http://schemas.openxmlformats.org/officeDocument/2006/relationships/hyperlink" Target="https://my.apps.factset.com/cpe-built-apps-server/fma-audit-report/index.html?_calendar=FIVEDAY&amp;_index=0&amp;_query=Rk1BX1BCSygnTFRNJywnMCcsJy0xMCcsJ0NZJywnUE9SVEFHRycsJ01FQU5SJyk7&amp;_ticker=FI1305US&amp;display_string=audit&amp;HEIGHT=800&amp;WIDTH=1200&amp;WINDOW=POPUP" TargetMode="External"/><Relationship Id="rId50" Type="http://schemas.openxmlformats.org/officeDocument/2006/relationships/hyperlink" Target="https://my.apps.factset.com/cpe-built-apps-server/fma-audit-report/index.html?_calendar=FIVEDAY&amp;_index=5&amp;_query=Rk1BX1BDRignTFRNJywnMCcsJy0xMCcsJ0NZJywnUE9SVEFHRycsJ01FQU5SJyk7&amp;_ticker=FI1305US&amp;display_string=audit&amp;HEIGHT=800&amp;WIDTH=1200&amp;WINDOW=POPUP" TargetMode="External"/><Relationship Id="rId55" Type="http://schemas.openxmlformats.org/officeDocument/2006/relationships/hyperlink" Target="https://my.apps.factset.com/cpe-built-apps-server/fma-audit-report/index.html?_calendar=FIVEDAY&amp;_index=10&amp;_query=Rk1BX1BDRignTFRNJywnMCcsJy0xMCcsJ0NZJywnUE9SVEFHRycsJ01FQU5SJyk7&amp;_ticker=FI1305US&amp;display_string=audit&amp;HEIGHT=800&amp;WIDTH=1200&amp;WINDOW=POPUP" TargetMode="External"/><Relationship Id="rId76" Type="http://schemas.openxmlformats.org/officeDocument/2006/relationships/hyperlink" Target="https://my.apps.factset.com/cpe-built-apps-server/fma-audit-report/index.html?_calendar=FIVEDAY&amp;_index=9&amp;_query=Rk1BX1BGQ0YoJ0xUTScsJzAnLCctMTAnLCdDWScsJ1BPUlRBR0cnLCdNRUFOUicpOw==&amp;_ticker=FI1305US&amp;display_string=audit&amp;HEIGHT=800&amp;WIDTH=1200&amp;WINDOW=POPUP" TargetMode="External"/><Relationship Id="rId97" Type="http://schemas.openxmlformats.org/officeDocument/2006/relationships/hyperlink" Target="https://my.apps.factset.com/cpe-built-apps-server/fma-audit-report/index.html?_calendar=FIVEDAY&amp;_index=8&amp;_query=Rk1BX0VWQUxfRUJJVERBKCdMVE0nLCcwJywnLTEwJywnQ1knLCdQT1JUQUdHJywnTUVBTlInKTs=&amp;_ticker=FI1305US&amp;display_string=audit&amp;HEIGHT=800&amp;WIDTH=1200&amp;WINDOW=POPUP" TargetMode="External"/><Relationship Id="rId104" Type="http://schemas.openxmlformats.org/officeDocument/2006/relationships/hyperlink" Target="https://my.apps.factset.com/cpe-built-apps-server/fma-audit-report/index.html?_calendar=FIVEDAY&amp;_index=4&amp;_query=Rk1BX0VWQUxfU0FMRVMoJ0xUTScsJzAnLCctMTAnLCdDWScsJ1BPUlRBR0cnLCdNRUFOUicpOw==&amp;_ticker=FI1305US&amp;display_string=audit&amp;HEIGHT=800&amp;WIDTH=1200&amp;WINDOW=POPUP" TargetMode="External"/><Relationship Id="rId7" Type="http://schemas.openxmlformats.org/officeDocument/2006/relationships/hyperlink" Target="https://my.apps.factset.com/cpe-built-apps-server/fma-audit-report/index.html?_calendar=FIVEDAY&amp;_index=6&amp;_query=Rk1BX1BFKCdMVE0nLCcwJywnLTEwJywnQ1knLCdQT1JUQUdHJywnTUVBTlInKTs=&amp;_ticker=FI1305US&amp;display_string=audit&amp;HEIGHT=800&amp;WIDTH=1200&amp;WINDOW=POPUP" TargetMode="External"/><Relationship Id="rId71" Type="http://schemas.openxmlformats.org/officeDocument/2006/relationships/hyperlink" Target="https://my.apps.factset.com/cpe-built-apps-server/fma-audit-report/index.html?_calendar=FIVEDAY&amp;_index=4&amp;_query=Rk1BX1BGQ0YoJ0xUTScsJzAnLCctMTAnLCdDWScsJ1BPUlRBR0cnLCdNRUFOUicpOw==&amp;_ticker=FI1305US&amp;display_string=audit&amp;HEIGHT=800&amp;WIDTH=1200&amp;WINDOW=POPUP" TargetMode="External"/><Relationship Id="rId92" Type="http://schemas.openxmlformats.org/officeDocument/2006/relationships/hyperlink" Target="https://my.apps.factset.com/cpe-built-apps-server/fma-audit-report/index.html?_calendar=FIVEDAY&amp;_index=3&amp;_query=Rk1BX0VWQUxfRUJJVERBKCdMVE0nLCcwJywnLTEwJywnQ1knLCdQT1JUQUdHJywnTUVBTlInKTs=&amp;_ticker=FI1305US&amp;display_string=audit&amp;HEIGHT=800&amp;WIDTH=1200&amp;WINDOW=POPUP" TargetMode="External"/><Relationship Id="rId2" Type="http://schemas.openxmlformats.org/officeDocument/2006/relationships/hyperlink" Target="https://my.apps.factset.com/cpe-built-apps-server/fma-audit-report/index.html?_calendar=FIVEDAY&amp;_index=1&amp;_query=Rk1BX1BFKCdMVE0nLCcwJywnLTEwJywnQ1knLCdQT1JUQUdHJywnTUVBTlInKTs=&amp;_ticker=FI1305US&amp;display_string=audit&amp;HEIGHT=800&amp;WIDTH=1200&amp;WINDOW=POPUP" TargetMode="External"/><Relationship Id="rId29" Type="http://schemas.openxmlformats.org/officeDocument/2006/relationships/hyperlink" Target="https://my.apps.factset.com/cpe-built-apps-server/fma-audit-report/index.html?_calendar=FIVEDAY&amp;_index=6&amp;_query=Rk1BX1BTQUxFUygnTFRNJywnMCcsJy0xMCcsJ0NZJywnUE9SVEFHRycsJ01FQU5SJyk7&amp;_ticker=FI1305US&amp;display_string=audit&amp;HEIGHT=800&amp;WIDTH=1200&amp;WINDOW=POPUP" TargetMode="External"/><Relationship Id="rId24" Type="http://schemas.openxmlformats.org/officeDocument/2006/relationships/hyperlink" Target="https://my.apps.factset.com/cpe-built-apps-server/fma-audit-report/index.html?_calendar=FIVEDAY&amp;_index=1&amp;_query=Rk1BX1BTQUxFUygnTFRNJywnMCcsJy0xMCcsJ0NZJywnUE9SVEFHRycsJ01FQU5SJyk7&amp;_ticker=FI1305US&amp;display_string=audit&amp;HEIGHT=800&amp;WIDTH=1200&amp;WINDOW=POPUP" TargetMode="External"/><Relationship Id="rId40" Type="http://schemas.openxmlformats.org/officeDocument/2006/relationships/hyperlink" Target="https://my.apps.factset.com/cpe-built-apps-server/fma-audit-report/index.html?_calendar=FIVEDAY&amp;_index=6&amp;_query=Rk1BX1BCSygnTFRNJywnMCcsJy0xMCcsJ0NZJywnUE9SVEFHRycsJ01FQU5SJyk7&amp;_ticker=FI1305US&amp;display_string=audit&amp;HEIGHT=800&amp;WIDTH=1200&amp;WINDOW=POPUP" TargetMode="External"/><Relationship Id="rId45" Type="http://schemas.openxmlformats.org/officeDocument/2006/relationships/hyperlink" Target="https://my.apps.factset.com/cpe-built-apps-server/fma-audit-report/index.html?_calendar=FIVEDAY&amp;_index=0&amp;_query=Rk1BX1BDRignTFRNJywnMCcsJy0xMCcsJ0NZJywnUE9SVEFHRycsJ01FQU5SJyk7&amp;_ticker=FI1305US&amp;display_string=audit&amp;HEIGHT=800&amp;WIDTH=1200&amp;WINDOW=POPUP" TargetMode="External"/><Relationship Id="rId66" Type="http://schemas.openxmlformats.org/officeDocument/2006/relationships/hyperlink" Target="https://my.apps.factset.com/cpe-built-apps-server/fma-audit-report/index.html?_calendar=FIVEDAY&amp;_index=10&amp;_query=Rk1BX1BDRlgoJ0xUTScsJzAnLCctMTAnLCdDWScsJ1BPUlRBR0cnKTs=&amp;_ticker=FI1305US&amp;display_string=audit&amp;HEIGHT=800&amp;WIDTH=1200&amp;WINDOW=POPUP" TargetMode="External"/><Relationship Id="rId87" Type="http://schemas.openxmlformats.org/officeDocument/2006/relationships/hyperlink" Target="https://my.apps.factset.com/cpe-built-apps-server/fma-audit-report/index.html?_calendar=FIVEDAY&amp;_index=9&amp;_query=Rk1BX0VWQUxfRUJJVCgnTFRNJywnMCcsJy0xMCcsJ0NZJywnUE9SVEFHRycsJ01FQU5SJyk7&amp;_ticker=FI1305US&amp;display_string=audit&amp;HEIGHT=800&amp;WIDTH=1200&amp;WINDOW=POPUP" TargetMode="External"/><Relationship Id="rId110" Type="http://schemas.openxmlformats.org/officeDocument/2006/relationships/hyperlink" Target="https://my.apps.factset.com/cpe-built-apps-server/fma-audit-report/index.html?_calendar=FIVEDAY&amp;_index=10&amp;_query=Rk1BX0VWQUxfU0FMRVMoJ0xUTScsJzAnLCctMTAnLCdDWScsJ1BPUlRBR0cnLCdNRUFOUicpOw==&amp;_ticker=FI1305US&amp;display_string=audit&amp;HEIGHT=800&amp;WIDTH=1200&amp;WINDOW=POPUP" TargetMode="External"/><Relationship Id="rId61" Type="http://schemas.openxmlformats.org/officeDocument/2006/relationships/hyperlink" Target="https://my.apps.factset.com/cpe-built-apps-server/fma-audit-report/index.html?_calendar=FIVEDAY&amp;_index=5&amp;_query=Rk1BX1BDRlgoJ0xUTScsJzAnLCctMTAnLCdDWScsJ1BPUlRBR0cnKTs=&amp;_ticker=FI1305US&amp;display_string=audit&amp;HEIGHT=800&amp;WIDTH=1200&amp;WINDOW=POPUP" TargetMode="External"/><Relationship Id="rId82" Type="http://schemas.openxmlformats.org/officeDocument/2006/relationships/hyperlink" Target="https://my.apps.factset.com/cpe-built-apps-server/fma-audit-report/index.html?_calendar=FIVEDAY&amp;_index=4&amp;_query=Rk1BX0VWQUxfRUJJVCgnTFRNJywnMCcsJy0xMCcsJ0NZJywnUE9SVEFHRycsJ01FQU5SJyk7&amp;_ticker=FI1305US&amp;display_string=audit&amp;HEIGHT=800&amp;WIDTH=1200&amp;WINDOW=POPUP" TargetMode="External"/><Relationship Id="rId19" Type="http://schemas.openxmlformats.org/officeDocument/2006/relationships/hyperlink" Target="https://my.apps.factset.com/cpe-built-apps-server/fma-audit-report/index.html?_calendar=FIVEDAY&amp;_index=7&amp;_query=Rk1BX1BFWCgnTFRNJywnMCcsJy0xMCcsJ0NZJywnUE9SVEFHRycpOw==&amp;_ticker=FI1305US&amp;display_string=audit&amp;HEIGHT=800&amp;WIDTH=1200&amp;WINDOW=POPUP" TargetMode="External"/><Relationship Id="rId14" Type="http://schemas.openxmlformats.org/officeDocument/2006/relationships/hyperlink" Target="https://my.apps.factset.com/cpe-built-apps-server/fma-audit-report/index.html?_calendar=FIVEDAY&amp;_index=2&amp;_query=Rk1BX1BFWCgnTFRNJywnMCcsJy0xMCcsJ0NZJywnUE9SVEFHRycpOw==&amp;_ticker=FI1305US&amp;display_string=audit&amp;HEIGHT=800&amp;WIDTH=1200&amp;WINDOW=POPUP" TargetMode="External"/><Relationship Id="rId30" Type="http://schemas.openxmlformats.org/officeDocument/2006/relationships/hyperlink" Target="https://my.apps.factset.com/cpe-built-apps-server/fma-audit-report/index.html?_calendar=FIVEDAY&amp;_index=7&amp;_query=Rk1BX1BTQUxFUygnTFRNJywnMCcsJy0xMCcsJ0NZJywnUE9SVEFHRycsJ01FQU5SJyk7&amp;_ticker=FI1305US&amp;display_string=audit&amp;HEIGHT=800&amp;WIDTH=1200&amp;WINDOW=POPUP" TargetMode="External"/><Relationship Id="rId35" Type="http://schemas.openxmlformats.org/officeDocument/2006/relationships/hyperlink" Target="https://my.apps.factset.com/cpe-built-apps-server/fma-audit-report/index.html?_calendar=FIVEDAY&amp;_index=1&amp;_query=Rk1BX1BCSygnTFRNJywnMCcsJy0xMCcsJ0NZJywnUE9SVEFHRycsJ01FQU5SJyk7&amp;_ticker=FI1305US&amp;display_string=audit&amp;HEIGHT=800&amp;WIDTH=1200&amp;WINDOW=POPUP" TargetMode="External"/><Relationship Id="rId56" Type="http://schemas.openxmlformats.org/officeDocument/2006/relationships/hyperlink" Target="https://my.apps.factset.com/cpe-built-apps-server/fma-audit-report/index.html?_calendar=FIVEDAY&amp;_index=0&amp;_query=Rk1BX1BDRlgoJ0xUTScsJzAnLCctMTAnLCdDWScsJ1BPUlRBR0cnKTs=&amp;_ticker=FI1305US&amp;display_string=audit&amp;HEIGHT=800&amp;WIDTH=1200&amp;WINDOW=POPUP" TargetMode="External"/><Relationship Id="rId77" Type="http://schemas.openxmlformats.org/officeDocument/2006/relationships/hyperlink" Target="https://my.apps.factset.com/cpe-built-apps-server/fma-audit-report/index.html?_calendar=FIVEDAY&amp;_index=10&amp;_query=Rk1BX1BGQ0YoJ0xUTScsJzAnLCctMTAnLCdDWScsJ1BPUlRBR0cnLCdNRUFOUicpOw==&amp;_ticker=FI1305US&amp;display_string=audit&amp;HEIGHT=800&amp;WIDTH=1200&amp;WINDOW=POPUP" TargetMode="External"/><Relationship Id="rId100" Type="http://schemas.openxmlformats.org/officeDocument/2006/relationships/hyperlink" Target="https://my.apps.factset.com/cpe-built-apps-server/fma-audit-report/index.html?_calendar=FIVEDAY&amp;_index=0&amp;_query=Rk1BX0VWQUxfU0FMRVMoJ0xUTScsJzAnLCctMTAnLCdDWScsJ1BPUlRBR0cnLCdNRUFOUicpOw==&amp;_ticker=FI1305US&amp;display_string=audit&amp;HEIGHT=800&amp;WIDTH=1200&amp;WINDOW=POPUP" TargetMode="External"/><Relationship Id="rId105" Type="http://schemas.openxmlformats.org/officeDocument/2006/relationships/hyperlink" Target="https://my.apps.factset.com/cpe-built-apps-server/fma-audit-report/index.html?_calendar=FIVEDAY&amp;_index=5&amp;_query=Rk1BX0VWQUxfU0FMRVMoJ0xUTScsJzAnLCctMTAnLCdDWScsJ1BPUlRBR0cnLCdNRUFOUicpOw==&amp;_ticker=FI1305US&amp;display_string=audit&amp;HEIGHT=800&amp;WIDTH=1200&amp;WINDOW=POPUP" TargetMode="External"/><Relationship Id="rId8" Type="http://schemas.openxmlformats.org/officeDocument/2006/relationships/hyperlink" Target="https://my.apps.factset.com/cpe-built-apps-server/fma-audit-report/index.html?_calendar=FIVEDAY&amp;_index=7&amp;_query=Rk1BX1BFKCdMVE0nLCcwJywnLTEwJywnQ1knLCdQT1JUQUdHJywnTUVBTlInKTs=&amp;_ticker=FI1305US&amp;display_string=audit&amp;HEIGHT=800&amp;WIDTH=1200&amp;WINDOW=POPUP" TargetMode="External"/><Relationship Id="rId51" Type="http://schemas.openxmlformats.org/officeDocument/2006/relationships/hyperlink" Target="https://my.apps.factset.com/cpe-built-apps-server/fma-audit-report/index.html?_calendar=FIVEDAY&amp;_index=6&amp;_query=Rk1BX1BDRignTFRNJywnMCcsJy0xMCcsJ0NZJywnUE9SVEFHRycsJ01FQU5SJyk7&amp;_ticker=FI1305US&amp;display_string=audit&amp;HEIGHT=800&amp;WIDTH=1200&amp;WINDOW=POPUP" TargetMode="External"/><Relationship Id="rId72" Type="http://schemas.openxmlformats.org/officeDocument/2006/relationships/hyperlink" Target="https://my.apps.factset.com/cpe-built-apps-server/fma-audit-report/index.html?_calendar=FIVEDAY&amp;_index=5&amp;_query=Rk1BX1BGQ0YoJ0xUTScsJzAnLCctMTAnLCdDWScsJ1BPUlRBR0cnLCdNRUFOUicpOw==&amp;_ticker=FI1305US&amp;display_string=audit&amp;HEIGHT=800&amp;WIDTH=1200&amp;WINDOW=POPUP" TargetMode="External"/><Relationship Id="rId93" Type="http://schemas.openxmlformats.org/officeDocument/2006/relationships/hyperlink" Target="https://my.apps.factset.com/cpe-built-apps-server/fma-audit-report/index.html?_calendar=FIVEDAY&amp;_index=4&amp;_query=Rk1BX0VWQUxfRUJJVERBKCdMVE0nLCcwJywnLTEwJywnQ1knLCdQT1JUQUdHJywnTUVBTlInKTs=&amp;_ticker=FI1305US&amp;display_string=audit&amp;HEIGHT=800&amp;WIDTH=1200&amp;WINDOW=POPUP" TargetMode="External"/><Relationship Id="rId98" Type="http://schemas.openxmlformats.org/officeDocument/2006/relationships/hyperlink" Target="https://my.apps.factset.com/cpe-built-apps-server/fma-audit-report/index.html?_calendar=FIVEDAY&amp;_index=9&amp;_query=Rk1BX0VWQUxfRUJJVERBKCdMVE0nLCcwJywnLTEwJywnQ1knLCdQT1JUQUdHJywnTUVBTlInKTs=&amp;_ticker=FI1305US&amp;display_string=audit&amp;HEIGHT=800&amp;WIDTH=1200&amp;WINDOW=POPUP" TargetMode="External"/><Relationship Id="rId3" Type="http://schemas.openxmlformats.org/officeDocument/2006/relationships/hyperlink" Target="https://my.apps.factset.com/cpe-built-apps-server/fma-audit-report/index.html?_calendar=FIVEDAY&amp;_index=2&amp;_query=Rk1BX1BFKCdMVE0nLCcwJywnLTEwJywnQ1knLCdQT1JUQUdHJywnTUVBTlInKTs=&amp;_ticker=FI1305US&amp;display_string=audit&amp;HEIGHT=800&amp;WIDTH=1200&amp;WINDOW=POPUP" TargetMode="External"/><Relationship Id="rId25" Type="http://schemas.openxmlformats.org/officeDocument/2006/relationships/hyperlink" Target="https://my.apps.factset.com/cpe-built-apps-server/fma-audit-report/index.html?_calendar=FIVEDAY&amp;_index=2&amp;_query=Rk1BX1BTQUxFUygnTFRNJywnMCcsJy0xMCcsJ0NZJywnUE9SVEFHRycsJ01FQU5SJyk7&amp;_ticker=FI1305US&amp;display_string=audit&amp;HEIGHT=800&amp;WIDTH=1200&amp;WINDOW=POPUP" TargetMode="External"/><Relationship Id="rId46" Type="http://schemas.openxmlformats.org/officeDocument/2006/relationships/hyperlink" Target="https://my.apps.factset.com/cpe-built-apps-server/fma-audit-report/index.html?_calendar=FIVEDAY&amp;_index=1&amp;_query=Rk1BX1BDRignTFRNJywnMCcsJy0xMCcsJ0NZJywnUE9SVEFHRycsJ01FQU5SJyk7&amp;_ticker=FI1305US&amp;display_string=audit&amp;HEIGHT=800&amp;WIDTH=1200&amp;WINDOW=POPUP" TargetMode="External"/><Relationship Id="rId67" Type="http://schemas.openxmlformats.org/officeDocument/2006/relationships/hyperlink" Target="https://my.apps.factset.com/cpe-built-apps-server/fma-audit-report/index.html?_calendar=FIVEDAY&amp;_index=0&amp;_query=Rk1BX1BGQ0YoJ0xUTScsJzAnLCctMTAnLCdDWScsJ1BPUlRBR0cnLCdNRUFOUicpOw==&amp;_ticker=FI1305US&amp;display_string=audit&amp;HEIGHT=800&amp;WIDTH=1200&amp;WINDOW=POPUP" TargetMode="External"/><Relationship Id="rId20" Type="http://schemas.openxmlformats.org/officeDocument/2006/relationships/hyperlink" Target="https://my.apps.factset.com/cpe-built-apps-server/fma-audit-report/index.html?_calendar=FIVEDAY&amp;_index=8&amp;_query=Rk1BX1BFWCgnTFRNJywnMCcsJy0xMCcsJ0NZJywnUE9SVEFHRycpOw==&amp;_ticker=FI1305US&amp;display_string=audit&amp;HEIGHT=800&amp;WIDTH=1200&amp;WINDOW=POPUP" TargetMode="External"/><Relationship Id="rId41" Type="http://schemas.openxmlformats.org/officeDocument/2006/relationships/hyperlink" Target="https://my.apps.factset.com/cpe-built-apps-server/fma-audit-report/index.html?_calendar=FIVEDAY&amp;_index=7&amp;_query=Rk1BX1BCSygnTFRNJywnMCcsJy0xMCcsJ0NZJywnUE9SVEFHRycsJ01FQU5SJyk7&amp;_ticker=FI1305US&amp;display_string=audit&amp;HEIGHT=800&amp;WIDTH=1200&amp;WINDOW=POPUP" TargetMode="External"/><Relationship Id="rId62" Type="http://schemas.openxmlformats.org/officeDocument/2006/relationships/hyperlink" Target="https://my.apps.factset.com/cpe-built-apps-server/fma-audit-report/index.html?_calendar=FIVEDAY&amp;_index=6&amp;_query=Rk1BX1BDRlgoJ0xUTScsJzAnLCctMTAnLCdDWScsJ1BPUlRBR0cnKTs=&amp;_ticker=FI1305US&amp;display_string=audit&amp;HEIGHT=800&amp;WIDTH=1200&amp;WINDOW=POPUP" TargetMode="External"/><Relationship Id="rId83" Type="http://schemas.openxmlformats.org/officeDocument/2006/relationships/hyperlink" Target="https://my.apps.factset.com/cpe-built-apps-server/fma-audit-report/index.html?_calendar=FIVEDAY&amp;_index=5&amp;_query=Rk1BX0VWQUxfRUJJVCgnTFRNJywnMCcsJy0xMCcsJ0NZJywnUE9SVEFHRycsJ01FQU5SJyk7&amp;_ticker=FI1305US&amp;display_string=audit&amp;HEIGHT=800&amp;WIDTH=1200&amp;WINDOW=POPUP" TargetMode="External"/><Relationship Id="rId88" Type="http://schemas.openxmlformats.org/officeDocument/2006/relationships/hyperlink" Target="https://my.apps.factset.com/cpe-built-apps-server/fma-audit-report/index.html?_calendar=FIVEDAY&amp;_index=10&amp;_query=Rk1BX0VWQUxfRUJJVCgnTFRNJywnMCcsJy0xMCcsJ0NZJywnUE9SVEFHRycsJ01FQU5SJyk7&amp;_ticker=FI1305US&amp;display_string=audit&amp;HEIGHT=800&amp;WIDTH=1200&amp;WINDOW=POPUP" TargetMode="External"/></Relationships>
</file>

<file path=xl/worksheets/_rels/sheet15.xml.rels><?xml version="1.0" encoding="UTF-8" standalone="yes"?>
<Relationships xmlns="http://schemas.openxmlformats.org/package/2006/relationships"><Relationship Id="rId26" Type="http://schemas.openxmlformats.org/officeDocument/2006/relationships/hyperlink" Target="https://my.apps.factset.com/cpe-built-apps-server/fma-audit-report/index.html?_calendar=FIVEDAY&amp;_index=3&amp;_query=Rk1BX05FVF9NR04oJ0xUTScsJzAnLCctMTAnLCdDWScsJ1BPUlRBR0cnLCdNRUFOUicpOw==&amp;_ticker=FI1305US&amp;display_string=audit&amp;HEIGHT=800&amp;WIDTH=1200&amp;WINDOW=POPUP" TargetMode="External"/><Relationship Id="rId21" Type="http://schemas.openxmlformats.org/officeDocument/2006/relationships/hyperlink" Target="https://my.apps.factset.com/cpe-built-apps-server/fma-audit-report/index.html?_calendar=FIVEDAY&amp;_index=9&amp;_query=Rk1BX09QRVJfSU5DX1NBTEVTKCdMVE0nLCcwJywnLTEwJywnQ1knLCdQT1JUQUdHJyk7&amp;_ticker=FI1305US&amp;display_string=audit&amp;HEIGHT=800&amp;WIDTH=1200&amp;WINDOW=POPUP" TargetMode="External"/><Relationship Id="rId42" Type="http://schemas.openxmlformats.org/officeDocument/2006/relationships/hyperlink" Target="https://my.apps.factset.com/cpe-built-apps-server/fma-audit-report/index.html?_calendar=FIVEDAY&amp;_index=8&amp;_query=Rk1BX0VCSVRfTUFSR0lOKCdMVE0nLCcwJywnLTEwJywnQ1knLCwnUE9SVEFHRycpOw==&amp;_ticker=FI1305US&amp;display_string=audit&amp;HEIGHT=800&amp;WIDTH=1200&amp;WINDOW=POPUP" TargetMode="External"/><Relationship Id="rId47" Type="http://schemas.openxmlformats.org/officeDocument/2006/relationships/hyperlink" Target="https://my.apps.factset.com/cpe-built-apps-server/fma-audit-report/index.html?_calendar=FIVEDAY&amp;_index=2&amp;_query=Rk1BX0VCSVREQV9NQVJHSU4oJ0xUTScsJzAnLCctMTAnLCdDWScsLCdQT1JUQUdHJywnTUVBTlInKTs=&amp;_ticker=FI1305US&amp;display_string=audit&amp;HEIGHT=800&amp;WIDTH=1200&amp;WINDOW=POPUP" TargetMode="External"/><Relationship Id="rId63" Type="http://schemas.openxmlformats.org/officeDocument/2006/relationships/hyperlink" Target="https://my.apps.factset.com/cpe-built-apps-server/fma-audit-report/index.html?_calendar=FIVEDAY&amp;_index=7&amp;_query=Rk1BX1JPQSgnTFRNJywnMCcsJy0xMCcsJ0NZJywnUE9SVEFHRycpOw==&amp;_ticker=FI1305US&amp;display_string=audit&amp;HEIGHT=800&amp;WIDTH=1200&amp;WINDOW=POPUP" TargetMode="External"/><Relationship Id="rId68" Type="http://schemas.openxmlformats.org/officeDocument/2006/relationships/hyperlink" Target="https://my.apps.factset.com/cpe-built-apps-server/fma-audit-report/index.html?_calendar=FIVEDAY&amp;_index=1&amp;_query=Rk1BX1JPRSgnTFRNJywnMCcsJy0xMCcsJ0NZJywnUE9SVEFHRycsJ01FQU5SJyk7&amp;_ticker=FI1305US&amp;display_string=audit&amp;HEIGHT=800&amp;WIDTH=1200&amp;WINDOW=POPUP" TargetMode="External"/><Relationship Id="rId84" Type="http://schemas.openxmlformats.org/officeDocument/2006/relationships/hyperlink" Target="https://my.apps.factset.com/cpe-built-apps-server/fma-audit-report/index.html?_calendar=FIVEDAY&amp;_index=6&amp;_query=Rk1BX1JPSUMoJ0xUTScsJzAnLCctMTAnLCdDWScsJ0xPQ0FMJywnUE9SVEFHRycsJ01FQU5SJyk7&amp;_ticker=FI1305US&amp;display_string=audit&amp;HEIGHT=800&amp;WIDTH=1200&amp;WINDOW=POPUP" TargetMode="External"/><Relationship Id="rId89" Type="http://schemas.openxmlformats.org/officeDocument/2006/relationships/hyperlink" Target="https://my.apps.factset.com/cpe-built-apps-server/fma-audit-report/index.html?_calendar=FIVEDAY&amp;_index=0&amp;_query=Rk1BX0ZDRl9NR04oJ0xUTScsJzAnLCctMTAnLCdDWScsJ1BPUlRBR0cnKTs=&amp;_ticker=FI1305US&amp;display_string=audit&amp;HEIGHT=800&amp;WIDTH=1200&amp;WINDOW=POPUP" TargetMode="External"/><Relationship Id="rId16" Type="http://schemas.openxmlformats.org/officeDocument/2006/relationships/hyperlink" Target="https://my.apps.factset.com/cpe-built-apps-server/fma-audit-report/index.html?_calendar=FIVEDAY&amp;_index=4&amp;_query=Rk1BX09QRVJfSU5DX1NBTEVTKCdMVE0nLCcwJywnLTEwJywnQ1knLCdQT1JUQUdHJyk7&amp;_ticker=FI1305US&amp;display_string=audit&amp;HEIGHT=800&amp;WIDTH=1200&amp;WINDOW=POPUP" TargetMode="External"/><Relationship Id="rId11" Type="http://schemas.openxmlformats.org/officeDocument/2006/relationships/hyperlink" Target="https://my.apps.factset.com/cpe-built-apps-server/fma-audit-report/index.html?_calendar=FIVEDAY&amp;_index=10&amp;_query=Rk1BX0dST1NTX01BUkdJTignTFRNJywnMCcsJy0xMCcsJ0NZJywnTE9DQUwnLCdQT1JUQUdHJywnTUVBTlInKTs=&amp;_ticker=FI1305US&amp;display_string=audit&amp;HEIGHT=800&amp;WIDTH=1200&amp;WINDOW=POPUP" TargetMode="External"/><Relationship Id="rId32" Type="http://schemas.openxmlformats.org/officeDocument/2006/relationships/hyperlink" Target="https://my.apps.factset.com/cpe-built-apps-server/fma-audit-report/index.html?_calendar=FIVEDAY&amp;_index=9&amp;_query=Rk1BX05FVF9NR04oJ0xUTScsJzAnLCctMTAnLCdDWScsJ1BPUlRBR0cnLCdNRUFOUicpOw==&amp;_ticker=FI1305US&amp;display_string=audit&amp;HEIGHT=800&amp;WIDTH=1200&amp;WINDOW=POPUP" TargetMode="External"/><Relationship Id="rId37" Type="http://schemas.openxmlformats.org/officeDocument/2006/relationships/hyperlink" Target="https://my.apps.factset.com/cpe-built-apps-server/fma-audit-report/index.html?_calendar=FIVEDAY&amp;_index=3&amp;_query=Rk1BX0VCSVRfTUFSR0lOKCdMVE0nLCcwJywnLTEwJywnQ1knLCwnUE9SVEFHRycpOw==&amp;_ticker=FI1305US&amp;display_string=audit&amp;HEIGHT=800&amp;WIDTH=1200&amp;WINDOW=POPUP" TargetMode="External"/><Relationship Id="rId53" Type="http://schemas.openxmlformats.org/officeDocument/2006/relationships/hyperlink" Target="https://my.apps.factset.com/cpe-built-apps-server/fma-audit-report/index.html?_calendar=FIVEDAY&amp;_index=8&amp;_query=Rk1BX0VCSVREQV9NQVJHSU4oJ0xUTScsJzAnLCctMTAnLCdDWScsLCdQT1JUQUdHJywnTUVBTlInKTs=&amp;_ticker=FI1305US&amp;display_string=audit&amp;HEIGHT=800&amp;WIDTH=1200&amp;WINDOW=POPUP" TargetMode="External"/><Relationship Id="rId58" Type="http://schemas.openxmlformats.org/officeDocument/2006/relationships/hyperlink" Target="https://my.apps.factset.com/cpe-built-apps-server/fma-audit-report/index.html?_calendar=FIVEDAY&amp;_index=2&amp;_query=Rk1BX1JPQSgnTFRNJywnMCcsJy0xMCcsJ0NZJywnUE9SVEFHRycpOw==&amp;_ticker=FI1305US&amp;display_string=audit&amp;HEIGHT=800&amp;WIDTH=1200&amp;WINDOW=POPUP" TargetMode="External"/><Relationship Id="rId74" Type="http://schemas.openxmlformats.org/officeDocument/2006/relationships/hyperlink" Target="https://my.apps.factset.com/cpe-built-apps-server/fma-audit-report/index.html?_calendar=FIVEDAY&amp;_index=7&amp;_query=Rk1BX1JPRSgnTFRNJywnMCcsJy0xMCcsJ0NZJywnUE9SVEFHRycsJ01FQU5SJyk7&amp;_ticker=FI1305US&amp;display_string=audit&amp;HEIGHT=800&amp;WIDTH=1200&amp;WINDOW=POPUP" TargetMode="External"/><Relationship Id="rId79" Type="http://schemas.openxmlformats.org/officeDocument/2006/relationships/hyperlink" Target="https://my.apps.factset.com/cpe-built-apps-server/fma-audit-report/index.html?_calendar=FIVEDAY&amp;_index=1&amp;_query=Rk1BX1JPSUMoJ0xUTScsJzAnLCctMTAnLCdDWScsJ0xPQ0FMJywnUE9SVEFHRycsJ01FQU5SJyk7&amp;_ticker=FI1305US&amp;display_string=audit&amp;HEIGHT=800&amp;WIDTH=1200&amp;WINDOW=POPUP" TargetMode="External"/><Relationship Id="rId5" Type="http://schemas.openxmlformats.org/officeDocument/2006/relationships/hyperlink" Target="https://my.apps.factset.com/cpe-built-apps-server/fma-audit-report/index.html?_calendar=FIVEDAY&amp;_index=4&amp;_query=Rk1BX0dST1NTX01BUkdJTignTFRNJywnMCcsJy0xMCcsJ0NZJywnTE9DQUwnLCdQT1JUQUdHJywnTUVBTlInKTs=&amp;_ticker=FI1305US&amp;display_string=audit&amp;HEIGHT=800&amp;WIDTH=1200&amp;WINDOW=POPUP" TargetMode="External"/><Relationship Id="rId90" Type="http://schemas.openxmlformats.org/officeDocument/2006/relationships/hyperlink" Target="https://my.apps.factset.com/cpe-built-apps-server/fma-audit-report/index.html?_calendar=FIVEDAY&amp;_index=1&amp;_query=Rk1BX0ZDRl9NR04oJ0xUTScsJzAnLCctMTAnLCdDWScsJ1BPUlRBR0cnKTs=&amp;_ticker=FI1305US&amp;display_string=audit&amp;HEIGHT=800&amp;WIDTH=1200&amp;WINDOW=POPUP" TargetMode="External"/><Relationship Id="rId95" Type="http://schemas.openxmlformats.org/officeDocument/2006/relationships/hyperlink" Target="https://my.apps.factset.com/cpe-built-apps-server/fma-audit-report/index.html?_calendar=FIVEDAY&amp;_index=6&amp;_query=Rk1BX0ZDRl9NR04oJ0xUTScsJzAnLCctMTAnLCdDWScsJ1BPUlRBR0cnKTs=&amp;_ticker=FI1305US&amp;display_string=audit&amp;HEIGHT=800&amp;WIDTH=1200&amp;WINDOW=POPUP" TargetMode="External"/><Relationship Id="rId22" Type="http://schemas.openxmlformats.org/officeDocument/2006/relationships/hyperlink" Target="https://my.apps.factset.com/cpe-built-apps-server/fma-audit-report/index.html?_calendar=FIVEDAY&amp;_index=10&amp;_query=Rk1BX09QRVJfSU5DX1NBTEVTKCdMVE0nLCcwJywnLTEwJywnQ1knLCdQT1JUQUdHJyk7&amp;_ticker=FI1305US&amp;display_string=audit&amp;HEIGHT=800&amp;WIDTH=1200&amp;WINDOW=POPUP" TargetMode="External"/><Relationship Id="rId27" Type="http://schemas.openxmlformats.org/officeDocument/2006/relationships/hyperlink" Target="https://my.apps.factset.com/cpe-built-apps-server/fma-audit-report/index.html?_calendar=FIVEDAY&amp;_index=4&amp;_query=Rk1BX05FVF9NR04oJ0xUTScsJzAnLCctMTAnLCdDWScsJ1BPUlRBR0cnLCdNRUFOUicpOw==&amp;_ticker=FI1305US&amp;display_string=audit&amp;HEIGHT=800&amp;WIDTH=1200&amp;WINDOW=POPUP" TargetMode="External"/><Relationship Id="rId43" Type="http://schemas.openxmlformats.org/officeDocument/2006/relationships/hyperlink" Target="https://my.apps.factset.com/cpe-built-apps-server/fma-audit-report/index.html?_calendar=FIVEDAY&amp;_index=9&amp;_query=Rk1BX0VCSVRfTUFSR0lOKCdMVE0nLCcwJywnLTEwJywnQ1knLCwnUE9SVEFHRycpOw==&amp;_ticker=FI1305US&amp;display_string=audit&amp;HEIGHT=800&amp;WIDTH=1200&amp;WINDOW=POPUP" TargetMode="External"/><Relationship Id="rId48" Type="http://schemas.openxmlformats.org/officeDocument/2006/relationships/hyperlink" Target="https://my.apps.factset.com/cpe-built-apps-server/fma-audit-report/index.html?_calendar=FIVEDAY&amp;_index=3&amp;_query=Rk1BX0VCSVREQV9NQVJHSU4oJ0xUTScsJzAnLCctMTAnLCdDWScsLCdQT1JUQUdHJywnTUVBTlInKTs=&amp;_ticker=FI1305US&amp;display_string=audit&amp;HEIGHT=800&amp;WIDTH=1200&amp;WINDOW=POPUP" TargetMode="External"/><Relationship Id="rId64" Type="http://schemas.openxmlformats.org/officeDocument/2006/relationships/hyperlink" Target="https://my.apps.factset.com/cpe-built-apps-server/fma-audit-report/index.html?_calendar=FIVEDAY&amp;_index=8&amp;_query=Rk1BX1JPQSgnTFRNJywnMCcsJy0xMCcsJ0NZJywnUE9SVEFHRycpOw==&amp;_ticker=FI1305US&amp;display_string=audit&amp;HEIGHT=800&amp;WIDTH=1200&amp;WINDOW=POPUP" TargetMode="External"/><Relationship Id="rId69" Type="http://schemas.openxmlformats.org/officeDocument/2006/relationships/hyperlink" Target="https://my.apps.factset.com/cpe-built-apps-server/fma-audit-report/index.html?_calendar=FIVEDAY&amp;_index=2&amp;_query=Rk1BX1JPRSgnTFRNJywnMCcsJy0xMCcsJ0NZJywnUE9SVEFHRycsJ01FQU5SJyk7&amp;_ticker=FI1305US&amp;display_string=audit&amp;HEIGHT=800&amp;WIDTH=1200&amp;WINDOW=POPUP" TargetMode="External"/><Relationship Id="rId80" Type="http://schemas.openxmlformats.org/officeDocument/2006/relationships/hyperlink" Target="https://my.apps.factset.com/cpe-built-apps-server/fma-audit-report/index.html?_calendar=FIVEDAY&amp;_index=2&amp;_query=Rk1BX1JPSUMoJ0xUTScsJzAnLCctMTAnLCdDWScsJ0xPQ0FMJywnUE9SVEFHRycsJ01FQU5SJyk7&amp;_ticker=FI1305US&amp;display_string=audit&amp;HEIGHT=800&amp;WIDTH=1200&amp;WINDOW=POPUP" TargetMode="External"/><Relationship Id="rId85" Type="http://schemas.openxmlformats.org/officeDocument/2006/relationships/hyperlink" Target="https://my.apps.factset.com/cpe-built-apps-server/fma-audit-report/index.html?_calendar=FIVEDAY&amp;_index=7&amp;_query=Rk1BX1JPSUMoJ0xUTScsJzAnLCctMTAnLCdDWScsJ0xPQ0FMJywnUE9SVEFHRycsJ01FQU5SJyk7&amp;_ticker=FI1305US&amp;display_string=audit&amp;HEIGHT=800&amp;WIDTH=1200&amp;WINDOW=POPUP" TargetMode="External"/><Relationship Id="rId3" Type="http://schemas.openxmlformats.org/officeDocument/2006/relationships/hyperlink" Target="https://my.apps.factset.com/cpe-built-apps-server/fma-audit-report/index.html?_calendar=FIVEDAY&amp;_index=2&amp;_query=Rk1BX0dST1NTX01BUkdJTignTFRNJywnMCcsJy0xMCcsJ0NZJywnTE9DQUwnLCdQT1JUQUdHJywnTUVBTlInKTs=&amp;_ticker=FI1305US&amp;display_string=audit&amp;HEIGHT=800&amp;WIDTH=1200&amp;WINDOW=POPUP" TargetMode="External"/><Relationship Id="rId12" Type="http://schemas.openxmlformats.org/officeDocument/2006/relationships/hyperlink" Target="https://my.apps.factset.com/cpe-built-apps-server/fma-audit-report/index.html?_calendar=FIVEDAY&amp;_index=0&amp;_query=Rk1BX09QRVJfSU5DX1NBTEVTKCdMVE0nLCcwJywnLTEwJywnQ1knLCdQT1JUQUdHJyk7&amp;_ticker=FI1305US&amp;display_string=audit&amp;HEIGHT=800&amp;WIDTH=1200&amp;WINDOW=POPUP" TargetMode="External"/><Relationship Id="rId17" Type="http://schemas.openxmlformats.org/officeDocument/2006/relationships/hyperlink" Target="https://my.apps.factset.com/cpe-built-apps-server/fma-audit-report/index.html?_calendar=FIVEDAY&amp;_index=5&amp;_query=Rk1BX09QRVJfSU5DX1NBTEVTKCdMVE0nLCcwJywnLTEwJywnQ1knLCdQT1JUQUdHJyk7&amp;_ticker=FI1305US&amp;display_string=audit&amp;HEIGHT=800&amp;WIDTH=1200&amp;WINDOW=POPUP" TargetMode="External"/><Relationship Id="rId25" Type="http://schemas.openxmlformats.org/officeDocument/2006/relationships/hyperlink" Target="https://my.apps.factset.com/cpe-built-apps-server/fma-audit-report/index.html?_calendar=FIVEDAY&amp;_index=2&amp;_query=Rk1BX05FVF9NR04oJ0xUTScsJzAnLCctMTAnLCdDWScsJ1BPUlRBR0cnLCdNRUFOUicpOw==&amp;_ticker=FI1305US&amp;display_string=audit&amp;HEIGHT=800&amp;WIDTH=1200&amp;WINDOW=POPUP" TargetMode="External"/><Relationship Id="rId33" Type="http://schemas.openxmlformats.org/officeDocument/2006/relationships/hyperlink" Target="https://my.apps.factset.com/cpe-built-apps-server/fma-audit-report/index.html?_calendar=FIVEDAY&amp;_index=10&amp;_query=Rk1BX05FVF9NR04oJ0xUTScsJzAnLCctMTAnLCdDWScsJ1BPUlRBR0cnLCdNRUFOUicpOw==&amp;_ticker=FI1305US&amp;display_string=audit&amp;HEIGHT=800&amp;WIDTH=1200&amp;WINDOW=POPUP" TargetMode="External"/><Relationship Id="rId38" Type="http://schemas.openxmlformats.org/officeDocument/2006/relationships/hyperlink" Target="https://my.apps.factset.com/cpe-built-apps-server/fma-audit-report/index.html?_calendar=FIVEDAY&amp;_index=4&amp;_query=Rk1BX0VCSVRfTUFSR0lOKCdMVE0nLCcwJywnLTEwJywnQ1knLCwnUE9SVEFHRycpOw==&amp;_ticker=FI1305US&amp;display_string=audit&amp;HEIGHT=800&amp;WIDTH=1200&amp;WINDOW=POPUP" TargetMode="External"/><Relationship Id="rId46" Type="http://schemas.openxmlformats.org/officeDocument/2006/relationships/hyperlink" Target="https://my.apps.factset.com/cpe-built-apps-server/fma-audit-report/index.html?_calendar=FIVEDAY&amp;_index=1&amp;_query=Rk1BX0VCSVREQV9NQVJHSU4oJ0xUTScsJzAnLCctMTAnLCdDWScsLCdQT1JUQUdHJywnTUVBTlInKTs=&amp;_ticker=FI1305US&amp;display_string=audit&amp;HEIGHT=800&amp;WIDTH=1200&amp;WINDOW=POPUP" TargetMode="External"/><Relationship Id="rId59" Type="http://schemas.openxmlformats.org/officeDocument/2006/relationships/hyperlink" Target="https://my.apps.factset.com/cpe-built-apps-server/fma-audit-report/index.html?_calendar=FIVEDAY&amp;_index=3&amp;_query=Rk1BX1JPQSgnTFRNJywnMCcsJy0xMCcsJ0NZJywnUE9SVEFHRycpOw==&amp;_ticker=FI1305US&amp;display_string=audit&amp;HEIGHT=800&amp;WIDTH=1200&amp;WINDOW=POPUP" TargetMode="External"/><Relationship Id="rId67" Type="http://schemas.openxmlformats.org/officeDocument/2006/relationships/hyperlink" Target="https://my.apps.factset.com/cpe-built-apps-server/fma-audit-report/index.html?_calendar=FIVEDAY&amp;_index=0&amp;_query=Rk1BX1JPRSgnTFRNJywnMCcsJy0xMCcsJ0NZJywnUE9SVEFHRycsJ01FQU5SJyk7&amp;_ticker=FI1305US&amp;display_string=audit&amp;HEIGHT=800&amp;WIDTH=1200&amp;WINDOW=POPUP" TargetMode="External"/><Relationship Id="rId20" Type="http://schemas.openxmlformats.org/officeDocument/2006/relationships/hyperlink" Target="https://my.apps.factset.com/cpe-built-apps-server/fma-audit-report/index.html?_calendar=FIVEDAY&amp;_index=8&amp;_query=Rk1BX09QRVJfSU5DX1NBTEVTKCdMVE0nLCcwJywnLTEwJywnQ1knLCdQT1JUQUdHJyk7&amp;_ticker=FI1305US&amp;display_string=audit&amp;HEIGHT=800&amp;WIDTH=1200&amp;WINDOW=POPUP" TargetMode="External"/><Relationship Id="rId41" Type="http://schemas.openxmlformats.org/officeDocument/2006/relationships/hyperlink" Target="https://my.apps.factset.com/cpe-built-apps-server/fma-audit-report/index.html?_calendar=FIVEDAY&amp;_index=7&amp;_query=Rk1BX0VCSVRfTUFSR0lOKCdMVE0nLCcwJywnLTEwJywnQ1knLCwnUE9SVEFHRycpOw==&amp;_ticker=FI1305US&amp;display_string=audit&amp;HEIGHT=800&amp;WIDTH=1200&amp;WINDOW=POPUP" TargetMode="External"/><Relationship Id="rId54" Type="http://schemas.openxmlformats.org/officeDocument/2006/relationships/hyperlink" Target="https://my.apps.factset.com/cpe-built-apps-server/fma-audit-report/index.html?_calendar=FIVEDAY&amp;_index=9&amp;_query=Rk1BX0VCSVREQV9NQVJHSU4oJ0xUTScsJzAnLCctMTAnLCdDWScsLCdQT1JUQUdHJywnTUVBTlInKTs=&amp;_ticker=FI1305US&amp;display_string=audit&amp;HEIGHT=800&amp;WIDTH=1200&amp;WINDOW=POPUP" TargetMode="External"/><Relationship Id="rId62" Type="http://schemas.openxmlformats.org/officeDocument/2006/relationships/hyperlink" Target="https://my.apps.factset.com/cpe-built-apps-server/fma-audit-report/index.html?_calendar=FIVEDAY&amp;_index=6&amp;_query=Rk1BX1JPQSgnTFRNJywnMCcsJy0xMCcsJ0NZJywnUE9SVEFHRycpOw==&amp;_ticker=FI1305US&amp;display_string=audit&amp;HEIGHT=800&amp;WIDTH=1200&amp;WINDOW=POPUP" TargetMode="External"/><Relationship Id="rId70" Type="http://schemas.openxmlformats.org/officeDocument/2006/relationships/hyperlink" Target="https://my.apps.factset.com/cpe-built-apps-server/fma-audit-report/index.html?_calendar=FIVEDAY&amp;_index=3&amp;_query=Rk1BX1JPRSgnTFRNJywnMCcsJy0xMCcsJ0NZJywnUE9SVEFHRycsJ01FQU5SJyk7&amp;_ticker=FI1305US&amp;display_string=audit&amp;HEIGHT=800&amp;WIDTH=1200&amp;WINDOW=POPUP" TargetMode="External"/><Relationship Id="rId75" Type="http://schemas.openxmlformats.org/officeDocument/2006/relationships/hyperlink" Target="https://my.apps.factset.com/cpe-built-apps-server/fma-audit-report/index.html?_calendar=FIVEDAY&amp;_index=8&amp;_query=Rk1BX1JPRSgnTFRNJywnMCcsJy0xMCcsJ0NZJywnUE9SVEFHRycsJ01FQU5SJyk7&amp;_ticker=FI1305US&amp;display_string=audit&amp;HEIGHT=800&amp;WIDTH=1200&amp;WINDOW=POPUP" TargetMode="External"/><Relationship Id="rId83" Type="http://schemas.openxmlformats.org/officeDocument/2006/relationships/hyperlink" Target="https://my.apps.factset.com/cpe-built-apps-server/fma-audit-report/index.html?_calendar=FIVEDAY&amp;_index=5&amp;_query=Rk1BX1JPSUMoJ0xUTScsJzAnLCctMTAnLCdDWScsJ0xPQ0FMJywnUE9SVEFHRycsJ01FQU5SJyk7&amp;_ticker=FI1305US&amp;display_string=audit&amp;HEIGHT=800&amp;WIDTH=1200&amp;WINDOW=POPUP" TargetMode="External"/><Relationship Id="rId88" Type="http://schemas.openxmlformats.org/officeDocument/2006/relationships/hyperlink" Target="https://my.apps.factset.com/cpe-built-apps-server/fma-audit-report/index.html?_calendar=FIVEDAY&amp;_index=10&amp;_query=Rk1BX1JPSUMoJ0xUTScsJzAnLCctMTAnLCdDWScsJ0xPQ0FMJywnUE9SVEFHRycsJ01FQU5SJyk7&amp;_ticker=FI1305US&amp;display_string=audit&amp;HEIGHT=800&amp;WIDTH=1200&amp;WINDOW=POPUP" TargetMode="External"/><Relationship Id="rId91" Type="http://schemas.openxmlformats.org/officeDocument/2006/relationships/hyperlink" Target="https://my.apps.factset.com/cpe-built-apps-server/fma-audit-report/index.html?_calendar=FIVEDAY&amp;_index=2&amp;_query=Rk1BX0ZDRl9NR04oJ0xUTScsJzAnLCctMTAnLCdDWScsJ1BPUlRBR0cnKTs=&amp;_ticker=FI1305US&amp;display_string=audit&amp;HEIGHT=800&amp;WIDTH=1200&amp;WINDOW=POPUP" TargetMode="External"/><Relationship Id="rId96" Type="http://schemas.openxmlformats.org/officeDocument/2006/relationships/hyperlink" Target="https://my.apps.factset.com/cpe-built-apps-server/fma-audit-report/index.html?_calendar=FIVEDAY&amp;_index=7&amp;_query=Rk1BX0ZDRl9NR04oJ0xUTScsJzAnLCctMTAnLCdDWScsJ1BPUlRBR0cnKTs=&amp;_ticker=FI1305US&amp;display_string=audit&amp;HEIGHT=800&amp;WIDTH=1200&amp;WINDOW=POPUP" TargetMode="External"/><Relationship Id="rId1" Type="http://schemas.openxmlformats.org/officeDocument/2006/relationships/hyperlink" Target="https://my.apps.factset.com/cpe-built-apps-server/fma-audit-report/index.html?_calendar=FIVEDAY&amp;_index=0&amp;_query=Rk1BX0dST1NTX01BUkdJTignTFRNJywnMCcsJy0xMCcsJ0NZJywnTE9DQUwnLCdQT1JUQUdHJywnTUVBTlInKTs=&amp;_ticker=FI1305US&amp;display_string=audit&amp;HEIGHT=800&amp;WIDTH=1200&amp;WINDOW=POPUP" TargetMode="External"/><Relationship Id="rId6" Type="http://schemas.openxmlformats.org/officeDocument/2006/relationships/hyperlink" Target="https://my.apps.factset.com/cpe-built-apps-server/fma-audit-report/index.html?_calendar=FIVEDAY&amp;_index=5&amp;_query=Rk1BX0dST1NTX01BUkdJTignTFRNJywnMCcsJy0xMCcsJ0NZJywnTE9DQUwnLCdQT1JUQUdHJywnTUVBTlInKTs=&amp;_ticker=FI1305US&amp;display_string=audit&amp;HEIGHT=800&amp;WIDTH=1200&amp;WINDOW=POPUP" TargetMode="External"/><Relationship Id="rId15" Type="http://schemas.openxmlformats.org/officeDocument/2006/relationships/hyperlink" Target="https://my.apps.factset.com/cpe-built-apps-server/fma-audit-report/index.html?_calendar=FIVEDAY&amp;_index=3&amp;_query=Rk1BX09QRVJfSU5DX1NBTEVTKCdMVE0nLCcwJywnLTEwJywnQ1knLCdQT1JUQUdHJyk7&amp;_ticker=FI1305US&amp;display_string=audit&amp;HEIGHT=800&amp;WIDTH=1200&amp;WINDOW=POPUP" TargetMode="External"/><Relationship Id="rId23" Type="http://schemas.openxmlformats.org/officeDocument/2006/relationships/hyperlink" Target="https://my.apps.factset.com/cpe-built-apps-server/fma-audit-report/index.html?_calendar=FIVEDAY&amp;_index=0&amp;_query=Rk1BX05FVF9NR04oJ0xUTScsJzAnLCctMTAnLCdDWScsJ1BPUlRBR0cnLCdNRUFOUicpOw==&amp;_ticker=FI1305US&amp;display_string=audit&amp;HEIGHT=800&amp;WIDTH=1200&amp;WINDOW=POPUP" TargetMode="External"/><Relationship Id="rId28" Type="http://schemas.openxmlformats.org/officeDocument/2006/relationships/hyperlink" Target="https://my.apps.factset.com/cpe-built-apps-server/fma-audit-report/index.html?_calendar=FIVEDAY&amp;_index=5&amp;_query=Rk1BX05FVF9NR04oJ0xUTScsJzAnLCctMTAnLCdDWScsJ1BPUlRBR0cnLCdNRUFOUicpOw==&amp;_ticker=FI1305US&amp;display_string=audit&amp;HEIGHT=800&amp;WIDTH=1200&amp;WINDOW=POPUP" TargetMode="External"/><Relationship Id="rId36" Type="http://schemas.openxmlformats.org/officeDocument/2006/relationships/hyperlink" Target="https://my.apps.factset.com/cpe-built-apps-server/fma-audit-report/index.html?_calendar=FIVEDAY&amp;_index=2&amp;_query=Rk1BX0VCSVRfTUFSR0lOKCdMVE0nLCcwJywnLTEwJywnQ1knLCwnUE9SVEFHRycpOw==&amp;_ticker=FI1305US&amp;display_string=audit&amp;HEIGHT=800&amp;WIDTH=1200&amp;WINDOW=POPUP" TargetMode="External"/><Relationship Id="rId49" Type="http://schemas.openxmlformats.org/officeDocument/2006/relationships/hyperlink" Target="https://my.apps.factset.com/cpe-built-apps-server/fma-audit-report/index.html?_calendar=FIVEDAY&amp;_index=4&amp;_query=Rk1BX0VCSVREQV9NQVJHSU4oJ0xUTScsJzAnLCctMTAnLCdDWScsLCdQT1JUQUdHJywnTUVBTlInKTs=&amp;_ticker=FI1305US&amp;display_string=audit&amp;HEIGHT=800&amp;WIDTH=1200&amp;WINDOW=POPUP" TargetMode="External"/><Relationship Id="rId57" Type="http://schemas.openxmlformats.org/officeDocument/2006/relationships/hyperlink" Target="https://my.apps.factset.com/cpe-built-apps-server/fma-audit-report/index.html?_calendar=FIVEDAY&amp;_index=1&amp;_query=Rk1BX1JPQSgnTFRNJywnMCcsJy0xMCcsJ0NZJywnUE9SVEFHRycpOw==&amp;_ticker=FI1305US&amp;display_string=audit&amp;HEIGHT=800&amp;WIDTH=1200&amp;WINDOW=POPUP" TargetMode="External"/><Relationship Id="rId10" Type="http://schemas.openxmlformats.org/officeDocument/2006/relationships/hyperlink" Target="https://my.apps.factset.com/cpe-built-apps-server/fma-audit-report/index.html?_calendar=FIVEDAY&amp;_index=9&amp;_query=Rk1BX0dST1NTX01BUkdJTignTFRNJywnMCcsJy0xMCcsJ0NZJywnTE9DQUwnLCdQT1JUQUdHJywnTUVBTlInKTs=&amp;_ticker=FI1305US&amp;display_string=audit&amp;HEIGHT=800&amp;WIDTH=1200&amp;WINDOW=POPUP" TargetMode="External"/><Relationship Id="rId31" Type="http://schemas.openxmlformats.org/officeDocument/2006/relationships/hyperlink" Target="https://my.apps.factset.com/cpe-built-apps-server/fma-audit-report/index.html?_calendar=FIVEDAY&amp;_index=8&amp;_query=Rk1BX05FVF9NR04oJ0xUTScsJzAnLCctMTAnLCdDWScsJ1BPUlRBR0cnLCdNRUFOUicpOw==&amp;_ticker=FI1305US&amp;display_string=audit&amp;HEIGHT=800&amp;WIDTH=1200&amp;WINDOW=POPUP" TargetMode="External"/><Relationship Id="rId44" Type="http://schemas.openxmlformats.org/officeDocument/2006/relationships/hyperlink" Target="https://my.apps.factset.com/cpe-built-apps-server/fma-audit-report/index.html?_calendar=FIVEDAY&amp;_index=10&amp;_query=Rk1BX0VCSVRfTUFSR0lOKCdMVE0nLCcwJywnLTEwJywnQ1knLCwnUE9SVEFHRycpOw==&amp;_ticker=FI1305US&amp;display_string=audit&amp;HEIGHT=800&amp;WIDTH=1200&amp;WINDOW=POPUP" TargetMode="External"/><Relationship Id="rId52" Type="http://schemas.openxmlformats.org/officeDocument/2006/relationships/hyperlink" Target="https://my.apps.factset.com/cpe-built-apps-server/fma-audit-report/index.html?_calendar=FIVEDAY&amp;_index=7&amp;_query=Rk1BX0VCSVREQV9NQVJHSU4oJ0xUTScsJzAnLCctMTAnLCdDWScsLCdQT1JUQUdHJywnTUVBTlInKTs=&amp;_ticker=FI1305US&amp;display_string=audit&amp;HEIGHT=800&amp;WIDTH=1200&amp;WINDOW=POPUP" TargetMode="External"/><Relationship Id="rId60" Type="http://schemas.openxmlformats.org/officeDocument/2006/relationships/hyperlink" Target="https://my.apps.factset.com/cpe-built-apps-server/fma-audit-report/index.html?_calendar=FIVEDAY&amp;_index=4&amp;_query=Rk1BX1JPQSgnTFRNJywnMCcsJy0xMCcsJ0NZJywnUE9SVEFHRycpOw==&amp;_ticker=FI1305US&amp;display_string=audit&amp;HEIGHT=800&amp;WIDTH=1200&amp;WINDOW=POPUP" TargetMode="External"/><Relationship Id="rId65" Type="http://schemas.openxmlformats.org/officeDocument/2006/relationships/hyperlink" Target="https://my.apps.factset.com/cpe-built-apps-server/fma-audit-report/index.html?_calendar=FIVEDAY&amp;_index=9&amp;_query=Rk1BX1JPQSgnTFRNJywnMCcsJy0xMCcsJ0NZJywnUE9SVEFHRycpOw==&amp;_ticker=FI1305US&amp;display_string=audit&amp;HEIGHT=800&amp;WIDTH=1200&amp;WINDOW=POPUP" TargetMode="External"/><Relationship Id="rId73" Type="http://schemas.openxmlformats.org/officeDocument/2006/relationships/hyperlink" Target="https://my.apps.factset.com/cpe-built-apps-server/fma-audit-report/index.html?_calendar=FIVEDAY&amp;_index=6&amp;_query=Rk1BX1JPRSgnTFRNJywnMCcsJy0xMCcsJ0NZJywnUE9SVEFHRycsJ01FQU5SJyk7&amp;_ticker=FI1305US&amp;display_string=audit&amp;HEIGHT=800&amp;WIDTH=1200&amp;WINDOW=POPUP" TargetMode="External"/><Relationship Id="rId78" Type="http://schemas.openxmlformats.org/officeDocument/2006/relationships/hyperlink" Target="https://my.apps.factset.com/cpe-built-apps-server/fma-audit-report/index.html?_calendar=FIVEDAY&amp;_index=0&amp;_query=Rk1BX1JPSUMoJ0xUTScsJzAnLCctMTAnLCdDWScsJ0xPQ0FMJywnUE9SVEFHRycsJ01FQU5SJyk7&amp;_ticker=FI1305US&amp;display_string=audit&amp;HEIGHT=800&amp;WIDTH=1200&amp;WINDOW=POPUP" TargetMode="External"/><Relationship Id="rId81" Type="http://schemas.openxmlformats.org/officeDocument/2006/relationships/hyperlink" Target="https://my.apps.factset.com/cpe-built-apps-server/fma-audit-report/index.html?_calendar=FIVEDAY&amp;_index=3&amp;_query=Rk1BX1JPSUMoJ0xUTScsJzAnLCctMTAnLCdDWScsJ0xPQ0FMJywnUE9SVEFHRycsJ01FQU5SJyk7&amp;_ticker=FI1305US&amp;display_string=audit&amp;HEIGHT=800&amp;WIDTH=1200&amp;WINDOW=POPUP" TargetMode="External"/><Relationship Id="rId86" Type="http://schemas.openxmlformats.org/officeDocument/2006/relationships/hyperlink" Target="https://my.apps.factset.com/cpe-built-apps-server/fma-audit-report/index.html?_calendar=FIVEDAY&amp;_index=8&amp;_query=Rk1BX1JPSUMoJ0xUTScsJzAnLCctMTAnLCdDWScsJ0xPQ0FMJywnUE9SVEFHRycsJ01FQU5SJyk7&amp;_ticker=FI1305US&amp;display_string=audit&amp;HEIGHT=800&amp;WIDTH=1200&amp;WINDOW=POPUP" TargetMode="External"/><Relationship Id="rId94" Type="http://schemas.openxmlformats.org/officeDocument/2006/relationships/hyperlink" Target="https://my.apps.factset.com/cpe-built-apps-server/fma-audit-report/index.html?_calendar=FIVEDAY&amp;_index=5&amp;_query=Rk1BX0ZDRl9NR04oJ0xUTScsJzAnLCctMTAnLCdDWScsJ1BPUlRBR0cnKTs=&amp;_ticker=FI1305US&amp;display_string=audit&amp;HEIGHT=800&amp;WIDTH=1200&amp;WINDOW=POPUP" TargetMode="External"/><Relationship Id="rId99" Type="http://schemas.openxmlformats.org/officeDocument/2006/relationships/hyperlink" Target="https://my.apps.factset.com/cpe-built-apps-server/fma-audit-report/index.html?_calendar=FIVEDAY&amp;_index=10&amp;_query=Rk1BX0ZDRl9NR04oJ0xUTScsJzAnLCctMTAnLCdDWScsJ1BPUlRBR0cnKTs=&amp;_ticker=FI1305US&amp;display_string=audit&amp;HEIGHT=800&amp;WIDTH=1200&amp;WINDOW=POPUP" TargetMode="External"/><Relationship Id="rId4" Type="http://schemas.openxmlformats.org/officeDocument/2006/relationships/hyperlink" Target="https://my.apps.factset.com/cpe-built-apps-server/fma-audit-report/index.html?_calendar=FIVEDAY&amp;_index=3&amp;_query=Rk1BX0dST1NTX01BUkdJTignTFRNJywnMCcsJy0xMCcsJ0NZJywnTE9DQUwnLCdQT1JUQUdHJywnTUVBTlInKTs=&amp;_ticker=FI1305US&amp;display_string=audit&amp;HEIGHT=800&amp;WIDTH=1200&amp;WINDOW=POPUP" TargetMode="External"/><Relationship Id="rId9" Type="http://schemas.openxmlformats.org/officeDocument/2006/relationships/hyperlink" Target="https://my.apps.factset.com/cpe-built-apps-server/fma-audit-report/index.html?_calendar=FIVEDAY&amp;_index=8&amp;_query=Rk1BX0dST1NTX01BUkdJTignTFRNJywnMCcsJy0xMCcsJ0NZJywnTE9DQUwnLCdQT1JUQUdHJywnTUVBTlInKTs=&amp;_ticker=FI1305US&amp;display_string=audit&amp;HEIGHT=800&amp;WIDTH=1200&amp;WINDOW=POPUP" TargetMode="External"/><Relationship Id="rId13" Type="http://schemas.openxmlformats.org/officeDocument/2006/relationships/hyperlink" Target="https://my.apps.factset.com/cpe-built-apps-server/fma-audit-report/index.html?_calendar=FIVEDAY&amp;_index=1&amp;_query=Rk1BX09QRVJfSU5DX1NBTEVTKCdMVE0nLCcwJywnLTEwJywnQ1knLCdQT1JUQUdHJyk7&amp;_ticker=FI1305US&amp;display_string=audit&amp;HEIGHT=800&amp;WIDTH=1200&amp;WINDOW=POPUP" TargetMode="External"/><Relationship Id="rId18" Type="http://schemas.openxmlformats.org/officeDocument/2006/relationships/hyperlink" Target="https://my.apps.factset.com/cpe-built-apps-server/fma-audit-report/index.html?_calendar=FIVEDAY&amp;_index=6&amp;_query=Rk1BX09QRVJfSU5DX1NBTEVTKCdMVE0nLCcwJywnLTEwJywnQ1knLCdQT1JUQUdHJyk7&amp;_ticker=FI1305US&amp;display_string=audit&amp;HEIGHT=800&amp;WIDTH=1200&amp;WINDOW=POPUP" TargetMode="External"/><Relationship Id="rId39" Type="http://schemas.openxmlformats.org/officeDocument/2006/relationships/hyperlink" Target="https://my.apps.factset.com/cpe-built-apps-server/fma-audit-report/index.html?_calendar=FIVEDAY&amp;_index=5&amp;_query=Rk1BX0VCSVRfTUFSR0lOKCdMVE0nLCcwJywnLTEwJywnQ1knLCwnUE9SVEFHRycpOw==&amp;_ticker=FI1305US&amp;display_string=audit&amp;HEIGHT=800&amp;WIDTH=1200&amp;WINDOW=POPUP" TargetMode="External"/><Relationship Id="rId34" Type="http://schemas.openxmlformats.org/officeDocument/2006/relationships/hyperlink" Target="https://my.apps.factset.com/cpe-built-apps-server/fma-audit-report/index.html?_calendar=FIVEDAY&amp;_index=0&amp;_query=Rk1BX0VCSVRfTUFSR0lOKCdMVE0nLCcwJywnLTEwJywnQ1knLCwnUE9SVEFHRycpOw==&amp;_ticker=FI1305US&amp;display_string=audit&amp;HEIGHT=800&amp;WIDTH=1200&amp;WINDOW=POPUP" TargetMode="External"/><Relationship Id="rId50" Type="http://schemas.openxmlformats.org/officeDocument/2006/relationships/hyperlink" Target="https://my.apps.factset.com/cpe-built-apps-server/fma-audit-report/index.html?_calendar=FIVEDAY&amp;_index=5&amp;_query=Rk1BX0VCSVREQV9NQVJHSU4oJ0xUTScsJzAnLCctMTAnLCdDWScsLCdQT1JUQUdHJywnTUVBTlInKTs=&amp;_ticker=FI1305US&amp;display_string=audit&amp;HEIGHT=800&amp;WIDTH=1200&amp;WINDOW=POPUP" TargetMode="External"/><Relationship Id="rId55" Type="http://schemas.openxmlformats.org/officeDocument/2006/relationships/hyperlink" Target="https://my.apps.factset.com/cpe-built-apps-server/fma-audit-report/index.html?_calendar=FIVEDAY&amp;_index=10&amp;_query=Rk1BX0VCSVREQV9NQVJHSU4oJ0xUTScsJzAnLCctMTAnLCdDWScsLCdQT1JUQUdHJywnTUVBTlInKTs=&amp;_ticker=FI1305US&amp;display_string=audit&amp;HEIGHT=800&amp;WIDTH=1200&amp;WINDOW=POPUP" TargetMode="External"/><Relationship Id="rId76" Type="http://schemas.openxmlformats.org/officeDocument/2006/relationships/hyperlink" Target="https://my.apps.factset.com/cpe-built-apps-server/fma-audit-report/index.html?_calendar=FIVEDAY&amp;_index=9&amp;_query=Rk1BX1JPRSgnTFRNJywnMCcsJy0xMCcsJ0NZJywnUE9SVEFHRycsJ01FQU5SJyk7&amp;_ticker=FI1305US&amp;display_string=audit&amp;HEIGHT=800&amp;WIDTH=1200&amp;WINDOW=POPUP" TargetMode="External"/><Relationship Id="rId97" Type="http://schemas.openxmlformats.org/officeDocument/2006/relationships/hyperlink" Target="https://my.apps.factset.com/cpe-built-apps-server/fma-audit-report/index.html?_calendar=FIVEDAY&amp;_index=8&amp;_query=Rk1BX0ZDRl9NR04oJ0xUTScsJzAnLCctMTAnLCdDWScsJ1BPUlRBR0cnKTs=&amp;_ticker=FI1305US&amp;display_string=audit&amp;HEIGHT=800&amp;WIDTH=1200&amp;WINDOW=POPUP" TargetMode="External"/><Relationship Id="rId7" Type="http://schemas.openxmlformats.org/officeDocument/2006/relationships/hyperlink" Target="https://my.apps.factset.com/cpe-built-apps-server/fma-audit-report/index.html?_calendar=FIVEDAY&amp;_index=6&amp;_query=Rk1BX0dST1NTX01BUkdJTignTFRNJywnMCcsJy0xMCcsJ0NZJywnTE9DQUwnLCdQT1JUQUdHJywnTUVBTlInKTs=&amp;_ticker=FI1305US&amp;display_string=audit&amp;HEIGHT=800&amp;WIDTH=1200&amp;WINDOW=POPUP" TargetMode="External"/><Relationship Id="rId71" Type="http://schemas.openxmlformats.org/officeDocument/2006/relationships/hyperlink" Target="https://my.apps.factset.com/cpe-built-apps-server/fma-audit-report/index.html?_calendar=FIVEDAY&amp;_index=4&amp;_query=Rk1BX1JPRSgnTFRNJywnMCcsJy0xMCcsJ0NZJywnUE9SVEFHRycsJ01FQU5SJyk7&amp;_ticker=FI1305US&amp;display_string=audit&amp;HEIGHT=800&amp;WIDTH=1200&amp;WINDOW=POPUP" TargetMode="External"/><Relationship Id="rId92" Type="http://schemas.openxmlformats.org/officeDocument/2006/relationships/hyperlink" Target="https://my.apps.factset.com/cpe-built-apps-server/fma-audit-report/index.html?_calendar=FIVEDAY&amp;_index=3&amp;_query=Rk1BX0ZDRl9NR04oJ0xUTScsJzAnLCctMTAnLCdDWScsJ1BPUlRBR0cnKTs=&amp;_ticker=FI1305US&amp;display_string=audit&amp;HEIGHT=800&amp;WIDTH=1200&amp;WINDOW=POPUP" TargetMode="External"/><Relationship Id="rId2" Type="http://schemas.openxmlformats.org/officeDocument/2006/relationships/hyperlink" Target="https://my.apps.factset.com/cpe-built-apps-server/fma-audit-report/index.html?_calendar=FIVEDAY&amp;_index=1&amp;_query=Rk1BX0dST1NTX01BUkdJTignTFRNJywnMCcsJy0xMCcsJ0NZJywnTE9DQUwnLCdQT1JUQUdHJywnTUVBTlInKTs=&amp;_ticker=FI1305US&amp;display_string=audit&amp;HEIGHT=800&amp;WIDTH=1200&amp;WINDOW=POPUP" TargetMode="External"/><Relationship Id="rId29" Type="http://schemas.openxmlformats.org/officeDocument/2006/relationships/hyperlink" Target="https://my.apps.factset.com/cpe-built-apps-server/fma-audit-report/index.html?_calendar=FIVEDAY&amp;_index=6&amp;_query=Rk1BX05FVF9NR04oJ0xUTScsJzAnLCctMTAnLCdDWScsJ1BPUlRBR0cnLCdNRUFOUicpOw==&amp;_ticker=FI1305US&amp;display_string=audit&amp;HEIGHT=800&amp;WIDTH=1200&amp;WINDOW=POPUP" TargetMode="External"/><Relationship Id="rId24" Type="http://schemas.openxmlformats.org/officeDocument/2006/relationships/hyperlink" Target="https://my.apps.factset.com/cpe-built-apps-server/fma-audit-report/index.html?_calendar=FIVEDAY&amp;_index=1&amp;_query=Rk1BX05FVF9NR04oJ0xUTScsJzAnLCctMTAnLCdDWScsJ1BPUlRBR0cnLCdNRUFOUicpOw==&amp;_ticker=FI1305US&amp;display_string=audit&amp;HEIGHT=800&amp;WIDTH=1200&amp;WINDOW=POPUP" TargetMode="External"/><Relationship Id="rId40" Type="http://schemas.openxmlformats.org/officeDocument/2006/relationships/hyperlink" Target="https://my.apps.factset.com/cpe-built-apps-server/fma-audit-report/index.html?_calendar=FIVEDAY&amp;_index=6&amp;_query=Rk1BX0VCSVRfTUFSR0lOKCdMVE0nLCcwJywnLTEwJywnQ1knLCwnUE9SVEFHRycpOw==&amp;_ticker=FI1305US&amp;display_string=audit&amp;HEIGHT=800&amp;WIDTH=1200&amp;WINDOW=POPUP" TargetMode="External"/><Relationship Id="rId45" Type="http://schemas.openxmlformats.org/officeDocument/2006/relationships/hyperlink" Target="https://my.apps.factset.com/cpe-built-apps-server/fma-audit-report/index.html?_calendar=FIVEDAY&amp;_index=0&amp;_query=Rk1BX0VCSVREQV9NQVJHSU4oJ0xUTScsJzAnLCctMTAnLCdDWScsLCdQT1JUQUdHJywnTUVBTlInKTs=&amp;_ticker=FI1305US&amp;display_string=audit&amp;HEIGHT=800&amp;WIDTH=1200&amp;WINDOW=POPUP" TargetMode="External"/><Relationship Id="rId66" Type="http://schemas.openxmlformats.org/officeDocument/2006/relationships/hyperlink" Target="https://my.apps.factset.com/cpe-built-apps-server/fma-audit-report/index.html?_calendar=FIVEDAY&amp;_index=10&amp;_query=Rk1BX1JPQSgnTFRNJywnMCcsJy0xMCcsJ0NZJywnUE9SVEFHRycpOw==&amp;_ticker=FI1305US&amp;display_string=audit&amp;HEIGHT=800&amp;WIDTH=1200&amp;WINDOW=POPUP" TargetMode="External"/><Relationship Id="rId87" Type="http://schemas.openxmlformats.org/officeDocument/2006/relationships/hyperlink" Target="https://my.apps.factset.com/cpe-built-apps-server/fma-audit-report/index.html?_calendar=FIVEDAY&amp;_index=9&amp;_query=Rk1BX1JPSUMoJ0xUTScsJzAnLCctMTAnLCdDWScsJ0xPQ0FMJywnUE9SVEFHRycsJ01FQU5SJyk7&amp;_ticker=FI1305US&amp;display_string=audit&amp;HEIGHT=800&amp;WIDTH=1200&amp;WINDOW=POPUP" TargetMode="External"/><Relationship Id="rId61" Type="http://schemas.openxmlformats.org/officeDocument/2006/relationships/hyperlink" Target="https://my.apps.factset.com/cpe-built-apps-server/fma-audit-report/index.html?_calendar=FIVEDAY&amp;_index=5&amp;_query=Rk1BX1JPQSgnTFRNJywnMCcsJy0xMCcsJ0NZJywnUE9SVEFHRycpOw==&amp;_ticker=FI1305US&amp;display_string=audit&amp;HEIGHT=800&amp;WIDTH=1200&amp;WINDOW=POPUP" TargetMode="External"/><Relationship Id="rId82" Type="http://schemas.openxmlformats.org/officeDocument/2006/relationships/hyperlink" Target="https://my.apps.factset.com/cpe-built-apps-server/fma-audit-report/index.html?_calendar=FIVEDAY&amp;_index=4&amp;_query=Rk1BX1JPSUMoJ0xUTScsJzAnLCctMTAnLCdDWScsJ0xPQ0FMJywnUE9SVEFHRycsJ01FQU5SJyk7&amp;_ticker=FI1305US&amp;display_string=audit&amp;HEIGHT=800&amp;WIDTH=1200&amp;WINDOW=POPUP" TargetMode="External"/><Relationship Id="rId19" Type="http://schemas.openxmlformats.org/officeDocument/2006/relationships/hyperlink" Target="https://my.apps.factset.com/cpe-built-apps-server/fma-audit-report/index.html?_calendar=FIVEDAY&amp;_index=7&amp;_query=Rk1BX09QRVJfSU5DX1NBTEVTKCdMVE0nLCcwJywnLTEwJywnQ1knLCdQT1JUQUdHJyk7&amp;_ticker=FI1305US&amp;display_string=audit&amp;HEIGHT=800&amp;WIDTH=1200&amp;WINDOW=POPUP" TargetMode="External"/><Relationship Id="rId14" Type="http://schemas.openxmlformats.org/officeDocument/2006/relationships/hyperlink" Target="https://my.apps.factset.com/cpe-built-apps-server/fma-audit-report/index.html?_calendar=FIVEDAY&amp;_index=2&amp;_query=Rk1BX09QRVJfSU5DX1NBTEVTKCdMVE0nLCcwJywnLTEwJywnQ1knLCdQT1JUQUdHJyk7&amp;_ticker=FI1305US&amp;display_string=audit&amp;HEIGHT=800&amp;WIDTH=1200&amp;WINDOW=POPUP" TargetMode="External"/><Relationship Id="rId30" Type="http://schemas.openxmlformats.org/officeDocument/2006/relationships/hyperlink" Target="https://my.apps.factset.com/cpe-built-apps-server/fma-audit-report/index.html?_calendar=FIVEDAY&amp;_index=7&amp;_query=Rk1BX05FVF9NR04oJ0xUTScsJzAnLCctMTAnLCdDWScsJ1BPUlRBR0cnLCdNRUFOUicpOw==&amp;_ticker=FI1305US&amp;display_string=audit&amp;HEIGHT=800&amp;WIDTH=1200&amp;WINDOW=POPUP" TargetMode="External"/><Relationship Id="rId35" Type="http://schemas.openxmlformats.org/officeDocument/2006/relationships/hyperlink" Target="https://my.apps.factset.com/cpe-built-apps-server/fma-audit-report/index.html?_calendar=FIVEDAY&amp;_index=1&amp;_query=Rk1BX0VCSVRfTUFSR0lOKCdMVE0nLCcwJywnLTEwJywnQ1knLCwnUE9SVEFHRycpOw==&amp;_ticker=FI1305US&amp;display_string=audit&amp;HEIGHT=800&amp;WIDTH=1200&amp;WINDOW=POPUP" TargetMode="External"/><Relationship Id="rId56" Type="http://schemas.openxmlformats.org/officeDocument/2006/relationships/hyperlink" Target="https://my.apps.factset.com/cpe-built-apps-server/fma-audit-report/index.html?_calendar=FIVEDAY&amp;_index=0&amp;_query=Rk1BX1JPQSgnTFRNJywnMCcsJy0xMCcsJ0NZJywnUE9SVEFHRycpOw==&amp;_ticker=FI1305US&amp;display_string=audit&amp;HEIGHT=800&amp;WIDTH=1200&amp;WINDOW=POPUP" TargetMode="External"/><Relationship Id="rId77" Type="http://schemas.openxmlformats.org/officeDocument/2006/relationships/hyperlink" Target="https://my.apps.factset.com/cpe-built-apps-server/fma-audit-report/index.html?_calendar=FIVEDAY&amp;_index=10&amp;_query=Rk1BX1JPRSgnTFRNJywnMCcsJy0xMCcsJ0NZJywnUE9SVEFHRycsJ01FQU5SJyk7&amp;_ticker=FI1305US&amp;display_string=audit&amp;HEIGHT=800&amp;WIDTH=1200&amp;WINDOW=POPUP" TargetMode="External"/><Relationship Id="rId8" Type="http://schemas.openxmlformats.org/officeDocument/2006/relationships/hyperlink" Target="https://my.apps.factset.com/cpe-built-apps-server/fma-audit-report/index.html?_calendar=FIVEDAY&amp;_index=7&amp;_query=Rk1BX0dST1NTX01BUkdJTignTFRNJywnMCcsJy0xMCcsJ0NZJywnTE9DQUwnLCdQT1JUQUdHJywnTUVBTlInKTs=&amp;_ticker=FI1305US&amp;display_string=audit&amp;HEIGHT=800&amp;WIDTH=1200&amp;WINDOW=POPUP" TargetMode="External"/><Relationship Id="rId51" Type="http://schemas.openxmlformats.org/officeDocument/2006/relationships/hyperlink" Target="https://my.apps.factset.com/cpe-built-apps-server/fma-audit-report/index.html?_calendar=FIVEDAY&amp;_index=6&amp;_query=Rk1BX0VCSVREQV9NQVJHSU4oJ0xUTScsJzAnLCctMTAnLCdDWScsLCdQT1JUQUdHJywnTUVBTlInKTs=&amp;_ticker=FI1305US&amp;display_string=audit&amp;HEIGHT=800&amp;WIDTH=1200&amp;WINDOW=POPUP" TargetMode="External"/><Relationship Id="rId72" Type="http://schemas.openxmlformats.org/officeDocument/2006/relationships/hyperlink" Target="https://my.apps.factset.com/cpe-built-apps-server/fma-audit-report/index.html?_calendar=FIVEDAY&amp;_index=5&amp;_query=Rk1BX1JPRSgnTFRNJywnMCcsJy0xMCcsJ0NZJywnUE9SVEFHRycsJ01FQU5SJyk7&amp;_ticker=FI1305US&amp;display_string=audit&amp;HEIGHT=800&amp;WIDTH=1200&amp;WINDOW=POPUP" TargetMode="External"/><Relationship Id="rId93" Type="http://schemas.openxmlformats.org/officeDocument/2006/relationships/hyperlink" Target="https://my.apps.factset.com/cpe-built-apps-server/fma-audit-report/index.html?_calendar=FIVEDAY&amp;_index=4&amp;_query=Rk1BX0ZDRl9NR04oJ0xUTScsJzAnLCctMTAnLCdDWScsJ1BPUlRBR0cnKTs=&amp;_ticker=FI1305US&amp;display_string=audit&amp;HEIGHT=800&amp;WIDTH=1200&amp;WINDOW=POPUP" TargetMode="External"/><Relationship Id="rId98" Type="http://schemas.openxmlformats.org/officeDocument/2006/relationships/hyperlink" Target="https://my.apps.factset.com/cpe-built-apps-server/fma-audit-report/index.html?_calendar=FIVEDAY&amp;_index=9&amp;_query=Rk1BX0ZDRl9NR04oJ0xUTScsJzAnLCctMTAnLCdDWScsJ1BPUlRBR0cnKTs=&amp;_ticker=FI1305US&amp;display_string=audit&amp;HEIGHT=800&amp;WIDTH=1200&amp;WINDOW=POPU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F7B8B-6965-5C43-B2EE-C464BD77A663}">
  <dimension ref="A1:AR122"/>
  <sheetViews>
    <sheetView showGridLines="0" tabSelected="1" zoomScale="90" zoomScaleNormal="100" workbookViewId="0">
      <selection activeCell="B1" sqref="B1"/>
    </sheetView>
  </sheetViews>
  <sheetFormatPr defaultColWidth="10.875" defaultRowHeight="12.9" x14ac:dyDescent="0.2"/>
  <cols>
    <col min="1" max="1" width="35" bestFit="1" customWidth="1"/>
    <col min="2" max="2" width="18.75" bestFit="1" customWidth="1"/>
    <col min="3" max="3" width="14.25" bestFit="1" customWidth="1"/>
    <col min="4" max="4" width="18.625" customWidth="1"/>
    <col min="5" max="7" width="12.75" bestFit="1" customWidth="1"/>
    <col min="8" max="8" width="17.375" bestFit="1" customWidth="1"/>
    <col min="9" max="9" width="12.75" bestFit="1" customWidth="1"/>
    <col min="10" max="10" width="13.25" customWidth="1"/>
    <col min="11" max="15" width="11" bestFit="1" customWidth="1"/>
    <col min="16" max="16" width="11.625" bestFit="1" customWidth="1"/>
    <col min="17" max="18" width="11" bestFit="1" customWidth="1"/>
    <col min="19" max="19" width="11.625" bestFit="1" customWidth="1"/>
    <col min="20" max="20" width="9.25" bestFit="1" customWidth="1"/>
    <col min="22" max="22" width="7.125" bestFit="1" customWidth="1"/>
  </cols>
  <sheetData>
    <row r="1" spans="1:23" ht="13.6" x14ac:dyDescent="0.25">
      <c r="A1" s="70" t="e" vm="1">
        <v>#VALUE!</v>
      </c>
    </row>
    <row r="2" spans="1:23" ht="13.6" x14ac:dyDescent="0.25">
      <c r="A2" s="70" t="s">
        <v>323</v>
      </c>
      <c r="B2" s="64" cm="1">
        <f t="array" aca="1" ref="B2" ca="1">_FV(A1,"Price")</f>
        <v>238.31</v>
      </c>
      <c r="D2" s="70" t="s">
        <v>348</v>
      </c>
      <c r="E2" s="106">
        <f>WACC</f>
        <v>7.9625350628261815E-2</v>
      </c>
    </row>
    <row r="3" spans="1:23" ht="13.6" x14ac:dyDescent="0.25">
      <c r="A3" s="70" t="s">
        <v>324</v>
      </c>
      <c r="B3" s="65" cm="1">
        <f t="array" aca="1" ref="B3" ca="1">_FV(A1,"Market cap",TRUE)</f>
        <v>118260908542</v>
      </c>
      <c r="D3" s="70" t="s">
        <v>352</v>
      </c>
      <c r="E3" s="98">
        <v>0.03</v>
      </c>
    </row>
    <row r="4" spans="1:23" ht="13.6" x14ac:dyDescent="0.25">
      <c r="A4" s="70" t="s">
        <v>360</v>
      </c>
      <c r="B4" s="81" cm="1">
        <f t="array" aca="1" ref="B4" ca="1">_FV(A1,"Shares outstanding",TRUE)</f>
        <v>496248200</v>
      </c>
    </row>
    <row r="5" spans="1:23" ht="13.6" x14ac:dyDescent="0.25">
      <c r="A5" s="70" t="s">
        <v>343</v>
      </c>
      <c r="B5" s="69">
        <v>0.1</v>
      </c>
    </row>
    <row r="7" spans="1:23" x14ac:dyDescent="0.2">
      <c r="A7" s="74" t="s">
        <v>356</v>
      </c>
    </row>
    <row r="8" spans="1:23" ht="13.6" x14ac:dyDescent="0.25">
      <c r="A8" s="70" t="s">
        <v>351</v>
      </c>
      <c r="B8" s="70"/>
      <c r="D8" s="70" t="s">
        <v>327</v>
      </c>
      <c r="E8" s="70"/>
      <c r="F8" s="70"/>
      <c r="H8" s="70" t="s">
        <v>327</v>
      </c>
      <c r="I8" s="70"/>
      <c r="J8" s="70"/>
      <c r="L8" s="70" t="s">
        <v>474</v>
      </c>
      <c r="M8" s="70"/>
      <c r="N8" s="70"/>
      <c r="O8" s="70"/>
      <c r="P8" s="70"/>
      <c r="Q8" s="70"/>
      <c r="R8" s="70"/>
      <c r="S8" s="70"/>
      <c r="T8" s="70" t="s">
        <v>476</v>
      </c>
      <c r="U8" s="70" t="s">
        <v>359</v>
      </c>
      <c r="V8" s="70"/>
      <c r="W8" s="70"/>
    </row>
    <row r="9" spans="1:23" ht="13.6" x14ac:dyDescent="0.25">
      <c r="A9" t="s">
        <v>352</v>
      </c>
      <c r="B9" s="67">
        <f>E3</f>
        <v>0.03</v>
      </c>
      <c r="D9" s="70" t="s">
        <v>364</v>
      </c>
      <c r="E9" s="70"/>
      <c r="F9" s="70"/>
      <c r="H9" s="70" t="s">
        <v>365</v>
      </c>
      <c r="I9" s="70"/>
      <c r="J9" s="70"/>
      <c r="L9" s="128" t="s">
        <v>478</v>
      </c>
      <c r="M9" s="128" t="s">
        <v>475</v>
      </c>
      <c r="N9" s="128">
        <v>1</v>
      </c>
      <c r="O9" s="128">
        <f>N9+1</f>
        <v>2</v>
      </c>
      <c r="P9" s="128">
        <f t="shared" ref="P9:R9" si="0">O9+1</f>
        <v>3</v>
      </c>
      <c r="Q9" s="128">
        <f t="shared" si="0"/>
        <v>4</v>
      </c>
      <c r="R9" s="128">
        <f t="shared" si="0"/>
        <v>5</v>
      </c>
      <c r="S9" s="129">
        <v>6</v>
      </c>
      <c r="T9" s="124"/>
      <c r="U9" s="126"/>
      <c r="V9" s="125"/>
      <c r="W9" s="124"/>
    </row>
    <row r="10" spans="1:23" x14ac:dyDescent="0.2">
      <c r="D10" t="s">
        <v>468</v>
      </c>
      <c r="F10" s="95">
        <f>'Valuation Ratio'!E80</f>
        <v>18.178195157648474</v>
      </c>
      <c r="G10" t="s">
        <v>469</v>
      </c>
      <c r="H10" t="s">
        <v>468</v>
      </c>
      <c r="J10" s="95">
        <f>'Valuation Ratio'!F80</f>
        <v>21.529732735448246</v>
      </c>
      <c r="K10" t="s">
        <v>469</v>
      </c>
      <c r="L10" s="60"/>
      <c r="U10" t="str">
        <f ca="1">IF(T11&gt;$B$2,"Undervalued By", "Overvalued By")</f>
        <v>Overvalued By</v>
      </c>
      <c r="W10" s="67">
        <f ca="1">IF(T11&gt;$B$2,-($B$2-T11)/$B$2,($B$2-T11)/$B$2)</f>
        <v>0.65778539222228938</v>
      </c>
    </row>
    <row r="11" spans="1:23" ht="13.6" x14ac:dyDescent="0.25">
      <c r="A11" t="s">
        <v>353</v>
      </c>
      <c r="B11" s="50">
        <f>B69*(1+B9)/(E2-DCF!B9)</f>
        <v>119824.67454901629</v>
      </c>
      <c r="L11" s="61">
        <f>L13-3%</f>
        <v>0.05</v>
      </c>
      <c r="M11" s="99">
        <v>3.68</v>
      </c>
      <c r="N11" s="99">
        <f>M11*(1+$L11)</f>
        <v>3.8640000000000003</v>
      </c>
      <c r="O11" s="99">
        <f>N11*(1+$L11)</f>
        <v>4.0572000000000008</v>
      </c>
      <c r="P11" s="99">
        <f>O11*(1+$L11)</f>
        <v>4.2600600000000011</v>
      </c>
      <c r="Q11" s="99">
        <f>P11*(1+$L11)</f>
        <v>4.4730630000000016</v>
      </c>
      <c r="R11" s="99">
        <f>Q11*(1+$L11)</f>
        <v>4.6967161500000021</v>
      </c>
      <c r="S11" s="99">
        <f>R11*(1+$E$3)</f>
        <v>4.8376176345000026</v>
      </c>
      <c r="T11" s="104">
        <f>NPV(WACC,N11,O11,P11,Q11,R11,(S11/(WACC-Growth_rate)+S11))</f>
        <v>81.553163179506214</v>
      </c>
      <c r="W11" s="80" t="str">
        <f ca="1">IF(U10="Overvalued By","SELL","BUY")</f>
        <v>SELL</v>
      </c>
    </row>
    <row r="12" spans="1:23" x14ac:dyDescent="0.2">
      <c r="D12" t="str">
        <f>A34</f>
        <v>EBIT (Operating Income)</v>
      </c>
      <c r="F12" s="50">
        <f>B34</f>
        <v>6779.4482037486141</v>
      </c>
      <c r="H12" t="str">
        <f>A33</f>
        <v>Sales</v>
      </c>
      <c r="J12" s="50">
        <f>J33</f>
        <v>12305.539000000001</v>
      </c>
      <c r="O12" s="99"/>
      <c r="U12" t="str">
        <f ca="1">IF(T13&gt;$B$2,"Undervalued By", "Overvalued By")</f>
        <v>Overvalued By</v>
      </c>
      <c r="W12" s="67">
        <f ca="1">IF(T13&gt;$B$2,-($B$2-T13)/$B$2,($B$2-T13)/$B$2)</f>
        <v>0.61056605737602587</v>
      </c>
    </row>
    <row r="13" spans="1:23" ht="13.6" x14ac:dyDescent="0.25">
      <c r="A13" t="s">
        <v>354</v>
      </c>
      <c r="B13" s="75">
        <f>NPV(E2,I69,H69,G69,F69,E69,D69,C69,B11+B69)</f>
        <v>91419.584461892853</v>
      </c>
      <c r="D13" t="str">
        <f>A38</f>
        <v>Depreciation</v>
      </c>
      <c r="F13" s="50">
        <f>B38</f>
        <v>667.29344438271971</v>
      </c>
      <c r="H13" t="s">
        <v>472</v>
      </c>
      <c r="J13" s="50">
        <f>J12-J14</f>
        <v>5526.0907962513866</v>
      </c>
      <c r="L13" s="61">
        <f>L15-3%</f>
        <v>0.08</v>
      </c>
      <c r="M13" s="99">
        <v>3.68</v>
      </c>
      <c r="N13" s="99">
        <f>M13*(1+$L13)</f>
        <v>3.9744000000000006</v>
      </c>
      <c r="O13" s="99">
        <f>N13*(1+$L13)</f>
        <v>4.2923520000000011</v>
      </c>
      <c r="P13" s="99">
        <f>O13*(1+$L13)</f>
        <v>4.6357401600000019</v>
      </c>
      <c r="Q13" s="99">
        <f>P13*(1+$L13)</f>
        <v>5.006599372800002</v>
      </c>
      <c r="R13" s="99">
        <f>Q13*(1+$L13)</f>
        <v>5.4071273226240022</v>
      </c>
      <c r="S13" s="99">
        <f>R13*(1+$E$3)</f>
        <v>5.5693411423027221</v>
      </c>
      <c r="T13" s="104">
        <f>NPV(WACC,N13,O13,P13,Q13,R13,(S13/(WACC-Growth_rate)+S13))</f>
        <v>92.806002866719254</v>
      </c>
      <c r="W13" s="80" t="str">
        <f ca="1">IF(U12="Overvalued By","SELL","BUY")</f>
        <v>SELL</v>
      </c>
    </row>
    <row r="14" spans="1:23" x14ac:dyDescent="0.2">
      <c r="A14" s="76" t="str">
        <f>"(-)"&amp;A51</f>
        <v>(-)Cash &amp; Short-Term Investments</v>
      </c>
      <c r="B14" s="50">
        <f>B51</f>
        <v>1976.5469544123005</v>
      </c>
      <c r="D14" t="str">
        <f>A39</f>
        <v>Amortization of Intangibles</v>
      </c>
      <c r="F14" s="50">
        <f>B39</f>
        <v>2893.4472636610567</v>
      </c>
      <c r="H14" t="str">
        <f>D12</f>
        <v>EBIT (Operating Income)</v>
      </c>
      <c r="J14" s="50">
        <f>F12</f>
        <v>6779.4482037486141</v>
      </c>
      <c r="S14" s="99"/>
      <c r="U14" t="str">
        <f ca="1">IF(T15&gt;$B$2,"Undervalued By", "Overvalued By")</f>
        <v>Overvalued By</v>
      </c>
      <c r="W14" s="67">
        <f ca="1">IF(T15&gt;$B$2,-($B$2-T15)/$B$2,($B$2-T15)/$B$2)</f>
        <v>0.5580504189164297</v>
      </c>
    </row>
    <row r="15" spans="1:23" ht="13.6" x14ac:dyDescent="0.25">
      <c r="A15" s="76" t="str">
        <f>"(-)"&amp;A52</f>
        <v>(-)Short-Term Receivables</v>
      </c>
      <c r="B15" s="50">
        <f>B52</f>
        <v>2394.8108120129655</v>
      </c>
      <c r="D15" t="s">
        <v>61</v>
      </c>
      <c r="F15" s="50">
        <f>SUM(F12:F14)</f>
        <v>10340.188911792391</v>
      </c>
      <c r="L15" s="61">
        <v>0.11</v>
      </c>
      <c r="M15" s="99">
        <v>3.68</v>
      </c>
      <c r="N15" s="99">
        <f>M15*(1+$L15)</f>
        <v>4.0848000000000004</v>
      </c>
      <c r="O15" s="99">
        <f>N15*(1+$L15)</f>
        <v>4.5341280000000008</v>
      </c>
      <c r="P15" s="99">
        <f>O15*(1+$L15)</f>
        <v>5.0328820800000011</v>
      </c>
      <c r="Q15" s="99">
        <f>P15*(1+$L15)</f>
        <v>5.5864991088000018</v>
      </c>
      <c r="R15" s="99">
        <f>Q15*(1+$L15)</f>
        <v>6.2010140107680023</v>
      </c>
      <c r="S15" s="99">
        <f t="shared" ref="S15:S25" si="1">R15*(1+$E$3)</f>
        <v>6.3870444310910424</v>
      </c>
      <c r="T15" s="104">
        <f>NPV(WACC,N15,O15,P15,Q15,R15,(S15/(WACC-Growth_rate)+S15))</f>
        <v>105.32100466802564</v>
      </c>
      <c r="W15" s="80" t="str">
        <f ca="1">IF(U14="Overvalued By","SELL","BUY")</f>
        <v>SELL</v>
      </c>
    </row>
    <row r="16" spans="1:23" x14ac:dyDescent="0.2">
      <c r="A16" s="76" t="str">
        <f>"(+)"&amp;"Total Debt"</f>
        <v>(+)Total Debt</v>
      </c>
      <c r="B16" s="50">
        <f>WACC!E36</f>
        <v>13229.356</v>
      </c>
      <c r="F16" s="75"/>
      <c r="H16" t="str">
        <f>D17</f>
        <v>Implied Enterprise Value</v>
      </c>
      <c r="J16" s="50">
        <f>J14*J10</f>
        <v>145959.70792052234</v>
      </c>
      <c r="O16" s="99"/>
      <c r="S16" s="99"/>
      <c r="U16" t="str">
        <f ca="1">IF(T17&gt;$B$2,"Undervalued By", "Overvalued By")</f>
        <v>Overvalued By</v>
      </c>
      <c r="W16" s="67">
        <f ca="1">IF(T17&gt;$B$2,-($B$2-T17)/$B$2,($B$2-T17)/$B$2)</f>
        <v>0.47902131174899976</v>
      </c>
    </row>
    <row r="17" spans="1:30" ht="13.6" x14ac:dyDescent="0.25">
      <c r="A17" t="s">
        <v>355</v>
      </c>
      <c r="B17" s="96">
        <f>B13-B14-B15+B16</f>
        <v>100277.58269546759</v>
      </c>
      <c r="D17" t="s">
        <v>470</v>
      </c>
      <c r="F17" s="50">
        <f>F15*F10</f>
        <v>187965.97200551489</v>
      </c>
      <c r="H17" s="76" t="str">
        <f>D18</f>
        <v>(-)Cash &amp; Short-Term Investments</v>
      </c>
      <c r="J17" s="50">
        <f>F18</f>
        <v>1976.5469544123005</v>
      </c>
      <c r="L17" s="61">
        <v>0.15</v>
      </c>
      <c r="M17" s="99">
        <v>3.68</v>
      </c>
      <c r="N17" s="99">
        <f>M17*(1+$L17)</f>
        <v>4.2320000000000002</v>
      </c>
      <c r="O17" s="99">
        <f>N17*(1+$L17)</f>
        <v>4.8667999999999996</v>
      </c>
      <c r="P17" s="99">
        <f>O17*(1+$L17)</f>
        <v>5.5968199999999992</v>
      </c>
      <c r="Q17" s="99">
        <f>P17*(1+$L17)</f>
        <v>6.436342999999999</v>
      </c>
      <c r="R17" s="99">
        <f>Q17*(1+$L17)</f>
        <v>7.4017944499999979</v>
      </c>
      <c r="S17" s="99">
        <f t="shared" si="1"/>
        <v>7.6238482834999983</v>
      </c>
      <c r="T17" s="104">
        <f>NPV(WACC,N17,O17,P17,Q17,R17,(S17/(WACC-Growth_rate)+S17))</f>
        <v>124.15443119709587</v>
      </c>
      <c r="W17" s="80" t="str">
        <f ca="1">IF(U16="Overvalued By","SELL","BUY")</f>
        <v>SELL</v>
      </c>
    </row>
    <row r="18" spans="1:30" x14ac:dyDescent="0.2">
      <c r="D18" s="76" t="str">
        <f t="shared" ref="D18:D20" si="2">A14</f>
        <v>(-)Cash &amp; Short-Term Investments</v>
      </c>
      <c r="F18" s="50">
        <f>B14</f>
        <v>1976.5469544123005</v>
      </c>
      <c r="H18" s="76" t="str">
        <f>D19</f>
        <v>(-)Short-Term Receivables</v>
      </c>
      <c r="J18" s="50">
        <f>F19</f>
        <v>2394.8108120129655</v>
      </c>
      <c r="S18" s="99"/>
      <c r="U18" t="str">
        <f ca="1">IF(T19&gt;$B$2,"Undervalued By", "Overvalued By")</f>
        <v>Overvalued By</v>
      </c>
      <c r="W18" s="67">
        <f ca="1">IF(T19&gt;$B$2,-($B$2-T19)/$B$2,($B$2-T19)/$B$2)</f>
        <v>0.41238190350368514</v>
      </c>
    </row>
    <row r="19" spans="1:30" ht="13.6" x14ac:dyDescent="0.25">
      <c r="A19" t="s">
        <v>357</v>
      </c>
      <c r="B19" s="50">
        <f ca="1">B4/1000000</f>
        <v>496.2482</v>
      </c>
      <c r="D19" s="76" t="str">
        <f t="shared" si="2"/>
        <v>(-)Short-Term Receivables</v>
      </c>
      <c r="F19" s="50">
        <f>B15</f>
        <v>2394.8108120129655</v>
      </c>
      <c r="H19" s="76" t="str">
        <f>D20</f>
        <v>(+)Total Debt</v>
      </c>
      <c r="J19" s="50">
        <f>F20</f>
        <v>13229.356</v>
      </c>
      <c r="L19" s="61">
        <v>0.18</v>
      </c>
      <c r="M19" s="99">
        <v>3.68</v>
      </c>
      <c r="N19" s="99">
        <f>M19*(1+$L19)</f>
        <v>4.3423999999999996</v>
      </c>
      <c r="O19" s="99">
        <f>N19*(1+$L19)</f>
        <v>5.1240319999999988</v>
      </c>
      <c r="P19" s="99">
        <f>O19*(1+$L19)</f>
        <v>6.0463577599999985</v>
      </c>
      <c r="Q19" s="99">
        <f>P19*(1+$L19)</f>
        <v>7.1347021567999978</v>
      </c>
      <c r="R19" s="99">
        <f>Q19*(1+$L19)</f>
        <v>8.418948545023996</v>
      </c>
      <c r="S19" s="99">
        <f t="shared" si="1"/>
        <v>8.6715170013747169</v>
      </c>
      <c r="T19" s="104">
        <f>NPV(WACC,N19,O19,P19,Q19,R19,(S19/(WACC-Growth_rate)+S19))</f>
        <v>140.0352685760368</v>
      </c>
      <c r="W19" s="80" t="str">
        <f ca="1">IF(U18="Overvalued By","SELL","BUY")</f>
        <v>SELL</v>
      </c>
    </row>
    <row r="20" spans="1:30" x14ac:dyDescent="0.2">
      <c r="A20" t="s">
        <v>358</v>
      </c>
      <c r="B20" s="75">
        <f ca="1">B17/B19</f>
        <v>202.07142856229521</v>
      </c>
      <c r="D20" s="76" t="str">
        <f t="shared" si="2"/>
        <v>(+)Total Debt</v>
      </c>
      <c r="F20" s="50">
        <f>B16</f>
        <v>13229.356</v>
      </c>
      <c r="H20" t="str">
        <f>D21</f>
        <v>Equity Value</v>
      </c>
      <c r="J20" s="50">
        <f>J16-J17-J18+J19</f>
        <v>154817.70615409708</v>
      </c>
      <c r="O20" s="99"/>
      <c r="S20" s="99"/>
      <c r="U20" t="str">
        <f ca="1">IF(T21&gt;$B$2,"Undervalued By", "Overvalued By")</f>
        <v>Overvalued By</v>
      </c>
      <c r="W20" s="67">
        <f ca="1">IF(T21&gt;$B$2,-($B$2-T21)/$B$2,($B$2-T21)/$B$2)</f>
        <v>0.33887322154594107</v>
      </c>
    </row>
    <row r="21" spans="1:30" ht="13.6" x14ac:dyDescent="0.25">
      <c r="D21" t="str">
        <f>A17</f>
        <v>Equity Value</v>
      </c>
      <c r="F21" s="50">
        <f>F17-F18-F19+F20</f>
        <v>196823.97023908963</v>
      </c>
      <c r="L21" s="61">
        <v>0.21</v>
      </c>
      <c r="M21" s="99">
        <v>3.68</v>
      </c>
      <c r="N21" s="99">
        <f>M21*(1+$L21)</f>
        <v>4.4527999999999999</v>
      </c>
      <c r="O21" s="99">
        <f>N21*(1+$L21)</f>
        <v>5.3878879999999993</v>
      </c>
      <c r="P21" s="99">
        <f>O21*(1+$L21)</f>
        <v>6.5193444799999991</v>
      </c>
      <c r="Q21" s="99">
        <f>P21*(1+$L21)</f>
        <v>7.8884068207999984</v>
      </c>
      <c r="R21" s="99">
        <f>Q21*(1+$L21)</f>
        <v>9.5449722531679981</v>
      </c>
      <c r="S21" s="99">
        <f t="shared" si="1"/>
        <v>9.8313214207630377</v>
      </c>
      <c r="T21" s="104">
        <f>NPV(WACC,N21,O21,P21,Q21,R21,(S21/(WACC-Growth_rate)+S21))</f>
        <v>157.55312257338679</v>
      </c>
      <c r="W21" s="80" t="str">
        <f ca="1">IF(U20="Overvalued By","SELL","BUY")</f>
        <v>SELL</v>
      </c>
    </row>
    <row r="22" spans="1:30" x14ac:dyDescent="0.2">
      <c r="A22" t="str">
        <f ca="1">IF(B20&gt;$B$2,"Undervalued By", "Overvalued By")</f>
        <v>Overvalued By</v>
      </c>
      <c r="B22" s="67">
        <f ca="1">IF(B20&gt;$B$2,-($B$2-B20)/$B$2,($B$2-B20)/$B$2)</f>
        <v>0.15206483755488562</v>
      </c>
      <c r="H22" t="str">
        <f>D23</f>
        <v>Shares Outstanding</v>
      </c>
      <c r="J22" s="50">
        <f ca="1">F23</f>
        <v>496.2482</v>
      </c>
      <c r="S22" s="99"/>
      <c r="U22" t="str">
        <f ca="1">IF(T23&gt;$B$2,"Undervalued By", "Overvalued By")</f>
        <v>Overvalued By</v>
      </c>
      <c r="W22" s="67">
        <f ca="1">IF(T23&gt;$B$2,-($B$2-T23)/$B$2,($B$2-T23)/$B$2)</f>
        <v>0.25796858261771488</v>
      </c>
    </row>
    <row r="23" spans="1:30" ht="13.6" x14ac:dyDescent="0.25">
      <c r="A23" t="s">
        <v>359</v>
      </c>
      <c r="B23" s="80" t="str">
        <f ca="1">IF(A22="Overvalued By","SELL","BUY")</f>
        <v>SELL</v>
      </c>
      <c r="D23" t="str">
        <f>A19</f>
        <v>Shares Outstanding</v>
      </c>
      <c r="F23" s="50">
        <f ca="1">B19</f>
        <v>496.2482</v>
      </c>
      <c r="H23" t="str">
        <f>D24</f>
        <v>Intrinsic Value</v>
      </c>
      <c r="J23" s="50">
        <f ca="1">J20/J22</f>
        <v>311.97635810890011</v>
      </c>
      <c r="L23" s="61">
        <f>L21+3%</f>
        <v>0.24</v>
      </c>
      <c r="M23" s="99">
        <v>3.68</v>
      </c>
      <c r="N23" s="99">
        <f>M23*(1+$L23)</f>
        <v>4.5632000000000001</v>
      </c>
      <c r="O23" s="99">
        <f>N23*(1+$L23)</f>
        <v>5.6583680000000003</v>
      </c>
      <c r="P23" s="99">
        <f>O23*(1+$L23)</f>
        <v>7.01637632</v>
      </c>
      <c r="Q23" s="99">
        <f>P23*(1+$L23)</f>
        <v>8.7003066368000006</v>
      </c>
      <c r="R23" s="99">
        <f>Q23*(1+$L23)</f>
        <v>10.788380229632001</v>
      </c>
      <c r="S23" s="99">
        <f t="shared" si="1"/>
        <v>11.11203163652096</v>
      </c>
      <c r="T23" s="104">
        <f>NPV(WACC,N23,O23,P23,Q23,R23,(S23/(WACC-Growth_rate)+S23))</f>
        <v>176.83350707637237</v>
      </c>
      <c r="W23" s="80" t="str">
        <f ca="1">IF(U22="Overvalued By","SELL","BUY")</f>
        <v>SELL</v>
      </c>
    </row>
    <row r="24" spans="1:30" ht="13.6" x14ac:dyDescent="0.25">
      <c r="B24" s="80"/>
      <c r="D24" t="str">
        <f>A20</f>
        <v>Intrinsic Value</v>
      </c>
      <c r="F24" s="50">
        <f ca="1">F21/F23</f>
        <v>396.624048689929</v>
      </c>
      <c r="O24" s="99"/>
      <c r="S24" s="99"/>
      <c r="U24" t="str">
        <f ca="1">IF(T25&gt;$B$2,"Undervalued By", "Overvalued By")</f>
        <v>Overvalued By</v>
      </c>
      <c r="W24" s="67">
        <f ca="1">IF(T25&gt;$B$2,-($B$2-T25)/$B$2,($B$2-T25)/$B$2)</f>
        <v>0.16911485887792446</v>
      </c>
    </row>
    <row r="25" spans="1:30" ht="13.6" x14ac:dyDescent="0.25">
      <c r="B25" s="80"/>
      <c r="F25" s="50"/>
      <c r="H25" t="str">
        <f ca="1">IF(J23&gt;$B$2,"Undervalued By", "Overvalued By")</f>
        <v>Undervalued By</v>
      </c>
      <c r="J25" s="67">
        <f ca="1">IF(J23&gt;$B$2,-($B$2-J23)/$B$2,-($B$2-J23)/$B$2)</f>
        <v>0.30911987792748985</v>
      </c>
      <c r="L25" s="61">
        <f>L23+3%</f>
        <v>0.27</v>
      </c>
      <c r="M25" s="99">
        <v>3.68</v>
      </c>
      <c r="N25" s="99">
        <f>M25*(1+$L25)</f>
        <v>4.6736000000000004</v>
      </c>
      <c r="O25" s="99">
        <f>N25*(1+$L25)</f>
        <v>5.9354720000000007</v>
      </c>
      <c r="P25" s="99">
        <f>O25*(1+$L25)</f>
        <v>7.5380494400000009</v>
      </c>
      <c r="Q25" s="99">
        <f>P25*(1+$L25)</f>
        <v>9.5733227888000005</v>
      </c>
      <c r="R25" s="99">
        <f>Q25*(1+$L25)</f>
        <v>12.158119941776</v>
      </c>
      <c r="S25" s="99">
        <f t="shared" si="1"/>
        <v>12.522863540029281</v>
      </c>
      <c r="T25" s="104">
        <f>NPV(WACC,N25,O25,P25,Q25,R25,(S25/(WACC-Growth_rate)+S25))</f>
        <v>198.00823798080182</v>
      </c>
      <c r="W25" s="80" t="str">
        <f ca="1">IF(U24="Overvalued By","SELL","BUY")</f>
        <v>SELL</v>
      </c>
    </row>
    <row r="26" spans="1:30" ht="13.6" x14ac:dyDescent="0.25">
      <c r="B26" s="80"/>
      <c r="D26" t="str">
        <f ca="1">IF(F24&gt;$B$2,"Undervalued By", "Overvalued By")</f>
        <v>Undervalued By</v>
      </c>
      <c r="E26" s="67"/>
      <c r="F26" s="67">
        <f ca="1">IF(F24&gt;$B$2,-($B$2-F24)/$B$2,-($B$2-F24)/$B$2)</f>
        <v>0.6643197880488817</v>
      </c>
      <c r="H26" t="s">
        <v>359</v>
      </c>
      <c r="J26" s="80" t="str">
        <f ca="1">IF(H25="Overvalued By","SELL","BUY")</f>
        <v>BUY</v>
      </c>
      <c r="L26" s="61"/>
      <c r="M26" s="99"/>
      <c r="N26" s="99"/>
      <c r="O26" s="99"/>
      <c r="P26" s="99"/>
      <c r="Q26" s="99"/>
      <c r="R26" s="99"/>
      <c r="S26" s="99"/>
      <c r="T26" s="104"/>
      <c r="W26" s="80"/>
    </row>
    <row r="27" spans="1:30" ht="13.6" x14ac:dyDescent="0.25">
      <c r="B27" s="80"/>
      <c r="D27" t="s">
        <v>359</v>
      </c>
      <c r="E27" s="80"/>
      <c r="F27" s="80" t="str">
        <f ca="1">IF(D26="Overvalued By","SELL","BUY")</f>
        <v>BUY</v>
      </c>
      <c r="L27" s="61"/>
      <c r="M27" s="99"/>
      <c r="N27" s="99"/>
      <c r="O27" s="99"/>
      <c r="P27" s="99"/>
      <c r="Q27" s="99"/>
      <c r="R27" s="99"/>
      <c r="S27" s="99"/>
      <c r="T27" s="104"/>
      <c r="W27" s="80"/>
    </row>
    <row r="28" spans="1:30" ht="13.6" x14ac:dyDescent="0.25">
      <c r="B28" s="80"/>
      <c r="L28" s="61"/>
      <c r="M28" s="99"/>
      <c r="N28" s="99"/>
      <c r="O28" s="99"/>
      <c r="P28" s="99"/>
      <c r="Q28" s="99"/>
      <c r="R28" s="99"/>
      <c r="S28" s="99"/>
      <c r="T28" s="104"/>
      <c r="W28" s="80"/>
    </row>
    <row r="30" spans="1:30" x14ac:dyDescent="0.2">
      <c r="AD30" s="79"/>
    </row>
    <row r="31" spans="1:30" s="79" customFormat="1" ht="13.6" x14ac:dyDescent="0.25">
      <c r="A31" s="77"/>
      <c r="B31" s="77" t="s">
        <v>326</v>
      </c>
      <c r="C31" s="77"/>
      <c r="D31" s="77"/>
      <c r="E31" s="77"/>
      <c r="F31" s="77"/>
      <c r="G31" s="77"/>
      <c r="H31" s="77"/>
      <c r="I31" s="77"/>
      <c r="J31" s="77" t="s">
        <v>325</v>
      </c>
      <c r="K31" s="77"/>
      <c r="L31" s="77"/>
      <c r="M31" s="77"/>
      <c r="N31" s="77"/>
      <c r="O31" s="77"/>
      <c r="P31" s="77"/>
      <c r="Q31" s="77"/>
      <c r="R31" s="77"/>
      <c r="S31" s="77"/>
      <c r="T31" s="77"/>
    </row>
    <row r="32" spans="1:30" s="79" customFormat="1" ht="13.6" x14ac:dyDescent="0.25">
      <c r="A32" s="77" t="s">
        <v>303</v>
      </c>
      <c r="B32" s="78" t="s">
        <v>321</v>
      </c>
      <c r="C32" s="78" t="s">
        <v>320</v>
      </c>
      <c r="D32" s="78" t="s">
        <v>319</v>
      </c>
      <c r="E32" s="78" t="s">
        <v>318</v>
      </c>
      <c r="F32" s="78" t="s">
        <v>317</v>
      </c>
      <c r="G32" s="78" t="s">
        <v>316</v>
      </c>
      <c r="H32" s="78" t="s">
        <v>315</v>
      </c>
      <c r="I32" s="78" t="s">
        <v>314</v>
      </c>
      <c r="J32" s="77" t="str">
        <f>IS!C8</f>
        <v>OCT '23</v>
      </c>
      <c r="K32" s="77" t="str">
        <f>IS!D8</f>
        <v>OCT '22</v>
      </c>
      <c r="L32" s="77" t="str">
        <f>IS!E8</f>
        <v>OCT '21</v>
      </c>
      <c r="M32" s="77" t="str">
        <f>IS!F8</f>
        <v>OCT '20</v>
      </c>
      <c r="N32" s="77" t="str">
        <f>IS!G8</f>
        <v>OCT '19</v>
      </c>
      <c r="O32" s="77" t="str">
        <f>IS!H8</f>
        <v>OCT '18</v>
      </c>
      <c r="P32" s="77" t="str">
        <f>IS!I8</f>
        <v>OCT '17</v>
      </c>
      <c r="Q32" s="77" t="str">
        <f>IS!J8</f>
        <v>OCT '16</v>
      </c>
      <c r="R32" s="77" t="str">
        <f>IS!K8</f>
        <v>OCT '15</v>
      </c>
      <c r="S32" s="77" t="str">
        <f>IS!L8</f>
        <v>OCT '14</v>
      </c>
      <c r="T32" s="77" t="str">
        <f>IS!M8</f>
        <v>OCT '13</v>
      </c>
      <c r="W32"/>
      <c r="AD32"/>
    </row>
    <row r="33" spans="1:44" x14ac:dyDescent="0.2">
      <c r="A33" s="4" t="str">
        <f>IS!A11</f>
        <v>Sales</v>
      </c>
      <c r="B33" s="108">
        <f>C33*(1+0.03)</f>
        <v>22916.451852512764</v>
      </c>
      <c r="C33" s="108">
        <f>D33*(1+0.06)</f>
        <v>22248.982381080354</v>
      </c>
      <c r="D33" s="108">
        <f t="shared" ref="D33:E33" si="3">E33*(1+0.06)</f>
        <v>20989.606019887124</v>
      </c>
      <c r="E33" s="108">
        <f t="shared" si="3"/>
        <v>19801.515113101061</v>
      </c>
      <c r="F33" s="108">
        <f>G33*(1+0.11)</f>
        <v>18680.674635001</v>
      </c>
      <c r="G33" s="108">
        <f t="shared" ref="G33:H33" si="4">H33*(1+0.11)</f>
        <v>16829.436608109008</v>
      </c>
      <c r="H33" s="108">
        <f t="shared" si="4"/>
        <v>15161.654601900005</v>
      </c>
      <c r="I33" s="108">
        <f>J33*(1+0.11)</f>
        <v>13659.148290000003</v>
      </c>
      <c r="J33" s="107">
        <f>IS!C11</f>
        <v>12305.539000000001</v>
      </c>
      <c r="K33" s="107">
        <f>IS!D11</f>
        <v>12013.953</v>
      </c>
      <c r="L33" s="107">
        <f>IS!E11</f>
        <v>7318.2860000000001</v>
      </c>
      <c r="M33" s="107">
        <f>IS!F11</f>
        <v>5603.0559999999996</v>
      </c>
      <c r="N33" s="107">
        <f>IS!G11</f>
        <v>5991.0649999999996</v>
      </c>
      <c r="O33" s="107">
        <f>IS!H11</f>
        <v>6224.6890000000003</v>
      </c>
      <c r="P33" s="107">
        <f>IS!I11</f>
        <v>5107.5029999999997</v>
      </c>
      <c r="Q33" s="107">
        <f>IS!J11</f>
        <v>3421.4090000000001</v>
      </c>
      <c r="R33" s="107">
        <f>IS!K11</f>
        <v>3435.0920000000001</v>
      </c>
      <c r="S33" s="107">
        <f>IS!L11</f>
        <v>2864.7730000000001</v>
      </c>
      <c r="T33" s="107">
        <f>IS!M11</f>
        <v>2633.6889999999999</v>
      </c>
    </row>
    <row r="34" spans="1:44" x14ac:dyDescent="0.2">
      <c r="A34" s="51" t="str">
        <f>IS!A25</f>
        <v>EBIT (Operating Income)</v>
      </c>
      <c r="B34" s="108">
        <f t="shared" ref="B34:H34" si="5">B33*B35</f>
        <v>6779.4482037486141</v>
      </c>
      <c r="C34" s="108">
        <f t="shared" si="5"/>
        <v>6581.9885473287513</v>
      </c>
      <c r="D34" s="108">
        <f t="shared" si="5"/>
        <v>6209.4231578573117</v>
      </c>
      <c r="E34" s="108">
        <f t="shared" si="5"/>
        <v>5857.9463753370865</v>
      </c>
      <c r="F34" s="108">
        <f t="shared" si="5"/>
        <v>5526.3645050349878</v>
      </c>
      <c r="G34" s="108">
        <f t="shared" si="5"/>
        <v>4978.7067612927813</v>
      </c>
      <c r="H34" s="108">
        <f t="shared" si="5"/>
        <v>4485.3214065700722</v>
      </c>
      <c r="I34" s="108">
        <f>I33*I35</f>
        <v>4040.8300960090737</v>
      </c>
      <c r="J34" s="107">
        <f>IS!C25</f>
        <v>3981.835</v>
      </c>
      <c r="K34" s="107">
        <f>IS!D25</f>
        <v>3528.6060000000002</v>
      </c>
      <c r="L34" s="107">
        <f>IS!E25</f>
        <v>1914.819</v>
      </c>
      <c r="M34" s="107">
        <f>IS!F25</f>
        <v>1573.2180000000001</v>
      </c>
      <c r="N34" s="107">
        <f>IS!G25</f>
        <v>1798.519</v>
      </c>
      <c r="O34" s="107">
        <f>IS!H25</f>
        <v>1961.29</v>
      </c>
      <c r="P34" s="107">
        <f>IS!I25</f>
        <v>1170.9880000000001</v>
      </c>
      <c r="Q34" s="107">
        <f>IS!J25</f>
        <v>1050.5899999999999</v>
      </c>
      <c r="R34" s="107">
        <f>IS!K25</f>
        <v>826.33100000000002</v>
      </c>
      <c r="S34" s="107">
        <f>IS!L25</f>
        <v>829.58600000000001</v>
      </c>
      <c r="T34" s="107">
        <f>IS!M25</f>
        <v>782.923</v>
      </c>
    </row>
    <row r="35" spans="1:44" x14ac:dyDescent="0.2">
      <c r="A35" s="51" t="s">
        <v>259</v>
      </c>
      <c r="B35" s="101">
        <f t="shared" ref="B35:I35" si="6">AVERAGE($J$35:$O$35)</f>
        <v>0.29583324012723439</v>
      </c>
      <c r="C35" s="101">
        <f t="shared" si="6"/>
        <v>0.29583324012723439</v>
      </c>
      <c r="D35" s="101">
        <f t="shared" si="6"/>
        <v>0.29583324012723439</v>
      </c>
      <c r="E35" s="101">
        <f t="shared" si="6"/>
        <v>0.29583324012723439</v>
      </c>
      <c r="F35" s="101">
        <f t="shared" si="6"/>
        <v>0.29583324012723439</v>
      </c>
      <c r="G35" s="101">
        <f t="shared" si="6"/>
        <v>0.29583324012723439</v>
      </c>
      <c r="H35" s="101">
        <f t="shared" si="6"/>
        <v>0.29583324012723439</v>
      </c>
      <c r="I35" s="101">
        <f t="shared" si="6"/>
        <v>0.29583324012723439</v>
      </c>
      <c r="J35" s="127">
        <f t="shared" ref="J35:S35" si="7">J34/J33</f>
        <v>0.32358070621693208</v>
      </c>
      <c r="K35" s="127">
        <f t="shared" si="7"/>
        <v>0.29370898987202632</v>
      </c>
      <c r="L35" s="127">
        <f t="shared" si="7"/>
        <v>0.26164856087887245</v>
      </c>
      <c r="M35" s="127">
        <f t="shared" si="7"/>
        <v>0.28077856084251168</v>
      </c>
      <c r="N35" s="127">
        <f t="shared" si="7"/>
        <v>0.30020021481990267</v>
      </c>
      <c r="O35" s="127">
        <f t="shared" si="7"/>
        <v>0.31508240813316135</v>
      </c>
      <c r="P35" s="127">
        <f t="shared" si="7"/>
        <v>0.22926819622034489</v>
      </c>
      <c r="Q35" s="127">
        <f t="shared" si="7"/>
        <v>0.30706355188754103</v>
      </c>
      <c r="R35" s="127">
        <f t="shared" si="7"/>
        <v>0.24055571146274976</v>
      </c>
      <c r="S35" s="127">
        <f t="shared" si="7"/>
        <v>0.28958175743767478</v>
      </c>
      <c r="T35" s="127">
        <f>T34/T33</f>
        <v>0.29727238105941894</v>
      </c>
    </row>
    <row r="36" spans="1:44" x14ac:dyDescent="0.2">
      <c r="A36" s="51" t="str">
        <f>IS!A41</f>
        <v>Income Taxes</v>
      </c>
      <c r="B36" s="108">
        <f>B33*B37</f>
        <v>2291.6451852512764</v>
      </c>
      <c r="C36" s="108">
        <f t="shared" ref="C36:I36" si="8">C33*C37</f>
        <v>1557.428766675625</v>
      </c>
      <c r="D36" s="108">
        <f t="shared" si="8"/>
        <v>1469.2724213920987</v>
      </c>
      <c r="E36" s="108">
        <f t="shared" si="8"/>
        <v>1386.1060579170744</v>
      </c>
      <c r="F36" s="108">
        <f t="shared" si="8"/>
        <v>934.03373175005004</v>
      </c>
      <c r="G36" s="108">
        <f t="shared" si="8"/>
        <v>841.47183040545042</v>
      </c>
      <c r="H36" s="108">
        <f t="shared" si="8"/>
        <v>758.08273009500033</v>
      </c>
      <c r="I36" s="108">
        <f t="shared" si="8"/>
        <v>682.95741450000014</v>
      </c>
      <c r="J36" s="107">
        <f>IS!C41</f>
        <v>293.42399999999998</v>
      </c>
      <c r="K36" s="107">
        <f>IS!D41</f>
        <v>350.18799999999999</v>
      </c>
      <c r="L36" s="107">
        <f>IS!E41</f>
        <v>-61.707999999999998</v>
      </c>
      <c r="M36" s="107">
        <f>IS!F41</f>
        <v>90.855999999999995</v>
      </c>
      <c r="N36" s="107">
        <f>IS!G41</f>
        <v>122.717</v>
      </c>
      <c r="O36" s="107">
        <f>IS!H41</f>
        <v>148.334</v>
      </c>
      <c r="P36" s="107">
        <f>IS!I41</f>
        <v>101.226</v>
      </c>
      <c r="Q36" s="107">
        <f>IS!J41</f>
        <v>95.257000000000005</v>
      </c>
      <c r="R36" s="107">
        <f>IS!K41</f>
        <v>113.236</v>
      </c>
      <c r="S36" s="107">
        <f>IS!L41</f>
        <v>100.02500000000001</v>
      </c>
      <c r="T36" s="107">
        <f>IS!M41</f>
        <v>141.83600000000001</v>
      </c>
    </row>
    <row r="37" spans="1:44" x14ac:dyDescent="0.2">
      <c r="A37" s="53" t="s">
        <v>305</v>
      </c>
      <c r="B37" s="102">
        <v>0.1</v>
      </c>
      <c r="C37" s="102">
        <v>7.0000000000000007E-2</v>
      </c>
      <c r="D37" s="102">
        <v>7.0000000000000007E-2</v>
      </c>
      <c r="E37" s="102">
        <v>7.0000000000000007E-2</v>
      </c>
      <c r="F37" s="102">
        <v>0.05</v>
      </c>
      <c r="G37" s="102">
        <v>0.05</v>
      </c>
      <c r="H37" s="102">
        <v>0.05</v>
      </c>
      <c r="I37" s="102">
        <v>0.05</v>
      </c>
      <c r="J37" s="127">
        <f t="shared" ref="J37:T37" si="9">J36/J33</f>
        <v>2.3844871809353491E-2</v>
      </c>
      <c r="K37" s="127">
        <f t="shared" si="9"/>
        <v>2.9148440983579677E-2</v>
      </c>
      <c r="L37" s="127">
        <f t="shared" si="9"/>
        <v>-8.4320290297482219E-3</v>
      </c>
      <c r="M37" s="127">
        <f t="shared" si="9"/>
        <v>1.621543671881916E-2</v>
      </c>
      <c r="N37" s="127">
        <f t="shared" si="9"/>
        <v>2.0483336435174717E-2</v>
      </c>
      <c r="O37" s="127">
        <f t="shared" si="9"/>
        <v>2.3829945560332411E-2</v>
      </c>
      <c r="P37" s="127">
        <f t="shared" si="9"/>
        <v>1.9819077932993874E-2</v>
      </c>
      <c r="Q37" s="127">
        <f t="shared" si="9"/>
        <v>2.7841453623346404E-2</v>
      </c>
      <c r="R37" s="127">
        <f t="shared" si="9"/>
        <v>3.2964473731707911E-2</v>
      </c>
      <c r="S37" s="127">
        <f t="shared" si="9"/>
        <v>3.4915506394398436E-2</v>
      </c>
      <c r="T37" s="127">
        <f t="shared" si="9"/>
        <v>5.3854498386104059E-2</v>
      </c>
    </row>
    <row r="38" spans="1:44" x14ac:dyDescent="0.2">
      <c r="A38" s="51" t="str">
        <f>IS!A16</f>
        <v>Depreciation</v>
      </c>
      <c r="B38" s="108">
        <f t="shared" ref="B38:H38" si="10">AVERAGE(C38:E38)*1.2</f>
        <v>667.29344438271971</v>
      </c>
      <c r="C38" s="108">
        <f>AVERAGE(D38:F38)*1.2</f>
        <v>607.59242004479984</v>
      </c>
      <c r="D38" s="108">
        <f>AVERAGE(E38:G38)*1.2</f>
        <v>554.85610803199984</v>
      </c>
      <c r="E38" s="108">
        <f>AVERAGE(F38:H38)*1.2</f>
        <v>505.78508287999989</v>
      </c>
      <c r="F38" s="108">
        <f>AVERAGE(G38:I38)*1.2</f>
        <v>458.33985919999992</v>
      </c>
      <c r="G38" s="108">
        <f t="shared" si="10"/>
        <v>423.01532799999995</v>
      </c>
      <c r="H38" s="108">
        <f t="shared" si="10"/>
        <v>383.10752000000002</v>
      </c>
      <c r="I38" s="108">
        <f>AVERAGE(J38:L38)*1.2</f>
        <v>339.72679999999997</v>
      </c>
      <c r="J38" s="107">
        <f>IS!C16</f>
        <v>334.70400000000001</v>
      </c>
      <c r="K38" s="107">
        <f>IS!D16</f>
        <v>283.33800000000002</v>
      </c>
      <c r="L38" s="107">
        <f>IS!E16</f>
        <v>231.27500000000001</v>
      </c>
      <c r="M38" s="107">
        <f>IS!F16</f>
        <v>233.77500000000001</v>
      </c>
      <c r="N38" s="107">
        <f>IS!G16</f>
        <v>240.67699999999999</v>
      </c>
      <c r="O38" s="107">
        <f>IS!H16</f>
        <v>228.52500000000001</v>
      </c>
      <c r="P38" s="107">
        <f>IS!I16</f>
        <v>194.666</v>
      </c>
      <c r="Q38" s="107">
        <f>IS!J16</f>
        <v>134.54</v>
      </c>
      <c r="R38" s="107">
        <f>IS!K16</f>
        <v>130.1</v>
      </c>
      <c r="S38" s="107">
        <f>IS!L16</f>
        <v>114.1</v>
      </c>
      <c r="T38" s="107">
        <f>IS!M16</f>
        <v>110.2</v>
      </c>
    </row>
    <row r="39" spans="1:44" x14ac:dyDescent="0.2">
      <c r="A39" s="51" t="str">
        <f>IS!A17</f>
        <v>Amortization of Intangibles</v>
      </c>
      <c r="B39" s="108">
        <f t="shared" ref="B39:H39" si="11">C39*1.05</f>
        <v>2893.4472636610567</v>
      </c>
      <c r="C39" s="108">
        <f>D39*1.05</f>
        <v>2755.6640606295778</v>
      </c>
      <c r="D39" s="108">
        <f t="shared" si="11"/>
        <v>2624.4419625043597</v>
      </c>
      <c r="E39" s="108">
        <f t="shared" si="11"/>
        <v>2499.4685357184376</v>
      </c>
      <c r="F39" s="108">
        <f>G39*1.05</f>
        <v>2380.4462244937499</v>
      </c>
      <c r="G39" s="108">
        <f t="shared" si="11"/>
        <v>2267.091642375</v>
      </c>
      <c r="H39" s="108">
        <f t="shared" si="11"/>
        <v>2159.1348975000001</v>
      </c>
      <c r="I39" s="108">
        <f>J39*1.05</f>
        <v>2056.3189499999999</v>
      </c>
      <c r="J39" s="107">
        <f>IS!C17</f>
        <v>1958.3989999999999</v>
      </c>
      <c r="K39" s="107">
        <f>IS!D17</f>
        <v>2014.1610000000001</v>
      </c>
      <c r="L39" s="107">
        <f>IS!E17</f>
        <v>843.35900000000004</v>
      </c>
      <c r="M39" s="107">
        <f>IS!F17</f>
        <v>577.14800000000002</v>
      </c>
      <c r="N39" s="107">
        <f>IS!G17</f>
        <v>570.57399999999996</v>
      </c>
      <c r="O39" s="107">
        <f>IS!H17</f>
        <v>570.53800000000001</v>
      </c>
      <c r="P39" s="107">
        <f>IS!I17</f>
        <v>389.39299999999997</v>
      </c>
      <c r="Q39" s="107">
        <f>IS!J17</f>
        <v>75.25</v>
      </c>
      <c r="R39" s="107">
        <f>IS!K17</f>
        <v>92.093000000000004</v>
      </c>
      <c r="S39" s="107">
        <f>IS!L17</f>
        <v>27.9</v>
      </c>
      <c r="T39" s="107">
        <f>IS!M17</f>
        <v>0.22</v>
      </c>
      <c r="AL39" s="105"/>
      <c r="AM39" s="105"/>
      <c r="AN39" s="105"/>
      <c r="AO39" s="105"/>
      <c r="AP39" s="105"/>
      <c r="AQ39" s="105"/>
      <c r="AR39" s="105"/>
    </row>
    <row r="40" spans="1:44" ht="14.3" thickBot="1" x14ac:dyDescent="0.3">
      <c r="A40" s="49" t="s">
        <v>304</v>
      </c>
      <c r="B40" s="59">
        <f>(B34*(1-B37))+B38+B39</f>
        <v>9662.2440914175295</v>
      </c>
      <c r="C40" s="59">
        <f t="shared" ref="C40:I40" si="12">(C34*(1-C37))+C38+C39</f>
        <v>9484.5058296901152</v>
      </c>
      <c r="D40" s="59">
        <f t="shared" si="12"/>
        <v>8954.0616073436595</v>
      </c>
      <c r="E40" s="59">
        <f t="shared" si="12"/>
        <v>8453.1437476619285</v>
      </c>
      <c r="F40" s="59">
        <f t="shared" si="12"/>
        <v>8088.8323634769877</v>
      </c>
      <c r="G40" s="59">
        <f t="shared" si="12"/>
        <v>7419.8783936031432</v>
      </c>
      <c r="H40" s="59">
        <f t="shared" si="12"/>
        <v>6803.2977537415682</v>
      </c>
      <c r="I40" s="59">
        <f t="shared" si="12"/>
        <v>6234.8343412086197</v>
      </c>
      <c r="J40" s="59">
        <f t="shared" ref="J40:T40" si="13">(J34*(1-J37))+J38+J39</f>
        <v>6179.9916548590027</v>
      </c>
      <c r="K40" s="52">
        <f t="shared" si="13"/>
        <v>5723.2516362546958</v>
      </c>
      <c r="L40" s="52">
        <f t="shared" si="13"/>
        <v>3005.598809394713</v>
      </c>
      <c r="M40" s="52">
        <f t="shared" si="13"/>
        <v>2358.630583076093</v>
      </c>
      <c r="N40" s="52">
        <f t="shared" si="13"/>
        <v>2572.9303302379458</v>
      </c>
      <c r="O40" s="52">
        <f t="shared" si="13"/>
        <v>2713.6155660719755</v>
      </c>
      <c r="P40" s="52">
        <f t="shared" si="13"/>
        <v>1731.8390975693994</v>
      </c>
      <c r="Q40" s="52">
        <f t="shared" si="13"/>
        <v>1231.1300472378484</v>
      </c>
      <c r="R40" s="52">
        <f t="shared" si="13"/>
        <v>1021.2844334568041</v>
      </c>
      <c r="S40" s="52">
        <f t="shared" si="13"/>
        <v>942.62058471229659</v>
      </c>
      <c r="T40" s="52">
        <f t="shared" si="13"/>
        <v>851.17907456005639</v>
      </c>
      <c r="AL40" s="95"/>
      <c r="AM40" s="95"/>
      <c r="AN40" s="95"/>
      <c r="AO40" s="95"/>
      <c r="AP40" s="95"/>
      <c r="AQ40" s="95"/>
      <c r="AR40" s="95"/>
    </row>
    <row r="41" spans="1:44" ht="13.6" thickTop="1" x14ac:dyDescent="0.2">
      <c r="B41" s="50"/>
      <c r="T41">
        <v>1</v>
      </c>
      <c r="AL41" s="95"/>
      <c r="AM41" s="95"/>
      <c r="AN41" s="95"/>
      <c r="AO41" s="95"/>
      <c r="AP41" s="95"/>
      <c r="AQ41" s="95"/>
      <c r="AR41" s="95"/>
    </row>
    <row r="42" spans="1:44" ht="13.6" x14ac:dyDescent="0.25">
      <c r="A42" s="77" t="s">
        <v>192</v>
      </c>
      <c r="B42" s="77" t="str">
        <f t="shared" ref="B42:I42" si="14">B32</f>
        <v>OCT '31</v>
      </c>
      <c r="C42" s="77" t="str">
        <f t="shared" si="14"/>
        <v>OCT '30</v>
      </c>
      <c r="D42" s="77" t="str">
        <f t="shared" si="14"/>
        <v>OCT '29</v>
      </c>
      <c r="E42" s="77" t="str">
        <f t="shared" si="14"/>
        <v>OCT '28</v>
      </c>
      <c r="F42" s="77" t="str">
        <f t="shared" si="14"/>
        <v>OCT '27</v>
      </c>
      <c r="G42" s="77" t="str">
        <f t="shared" si="14"/>
        <v>OCT '26</v>
      </c>
      <c r="H42" s="77" t="str">
        <f t="shared" si="14"/>
        <v>OCT '25</v>
      </c>
      <c r="I42" s="77" t="str">
        <f t="shared" si="14"/>
        <v>OCT '24</v>
      </c>
      <c r="J42" s="77" t="str">
        <f t="shared" ref="J42:T42" si="15">J32</f>
        <v>OCT '23</v>
      </c>
      <c r="K42" s="77" t="str">
        <f t="shared" si="15"/>
        <v>OCT '22</v>
      </c>
      <c r="L42" s="77" t="str">
        <f t="shared" si="15"/>
        <v>OCT '21</v>
      </c>
      <c r="M42" s="77" t="str">
        <f t="shared" si="15"/>
        <v>OCT '20</v>
      </c>
      <c r="N42" s="77" t="str">
        <f t="shared" si="15"/>
        <v>OCT '19</v>
      </c>
      <c r="O42" s="77" t="str">
        <f t="shared" si="15"/>
        <v>OCT '18</v>
      </c>
      <c r="P42" s="77" t="str">
        <f t="shared" si="15"/>
        <v>OCT '17</v>
      </c>
      <c r="Q42" s="77" t="str">
        <f t="shared" si="15"/>
        <v>OCT '16</v>
      </c>
      <c r="R42" s="77" t="str">
        <f t="shared" si="15"/>
        <v>OCT '15</v>
      </c>
      <c r="S42" s="77" t="str">
        <f t="shared" si="15"/>
        <v>OCT '14</v>
      </c>
      <c r="T42" s="77" t="str">
        <f t="shared" si="15"/>
        <v>OCT '13</v>
      </c>
      <c r="AL42" s="95"/>
      <c r="AM42" s="95"/>
      <c r="AN42" s="95"/>
      <c r="AO42" s="95"/>
      <c r="AP42" s="95"/>
      <c r="AQ42" s="95"/>
      <c r="AR42" s="95"/>
    </row>
    <row r="43" spans="1:44" x14ac:dyDescent="0.2">
      <c r="A43" s="4" t="str">
        <f>BS!A29</f>
        <v>Net Property, Plant &amp; Equipment</v>
      </c>
      <c r="B43" s="108">
        <f t="shared" ref="B43:H43" si="16">B44*B33</f>
        <v>5535.8163331319156</v>
      </c>
      <c r="C43" s="108">
        <f t="shared" si="16"/>
        <v>5374.5789642057434</v>
      </c>
      <c r="D43" s="108">
        <f t="shared" si="16"/>
        <v>5070.3575134016446</v>
      </c>
      <c r="E43" s="108">
        <f t="shared" si="16"/>
        <v>4783.3561447185321</v>
      </c>
      <c r="F43" s="108">
        <f t="shared" si="16"/>
        <v>4512.6001365269176</v>
      </c>
      <c r="G43" s="108">
        <f t="shared" si="16"/>
        <v>4065.4055284026281</v>
      </c>
      <c r="H43" s="108">
        <f t="shared" si="16"/>
        <v>3662.5275030654302</v>
      </c>
      <c r="I43" s="108">
        <f>I44*I33</f>
        <v>3299.5743270859725</v>
      </c>
      <c r="J43" s="107">
        <f>BS!B29</f>
        <v>3496.377</v>
      </c>
      <c r="K43" s="107">
        <f>BS!C29</f>
        <v>2664.3009999999999</v>
      </c>
      <c r="L43" s="107">
        <f>BS!D29</f>
        <v>2258.5929999999998</v>
      </c>
      <c r="M43" s="107">
        <f>BS!E29</f>
        <v>1377.1859999999999</v>
      </c>
      <c r="N43" s="107">
        <f>BS!F29</f>
        <v>1219.989</v>
      </c>
      <c r="O43" s="107">
        <f>BS!G29</f>
        <v>1154.328</v>
      </c>
      <c r="P43" s="107">
        <f>BS!H29</f>
        <v>1107.3040000000001</v>
      </c>
      <c r="Q43" s="107">
        <f>BS!I29</f>
        <v>636.11599999999999</v>
      </c>
      <c r="R43" s="107">
        <f>BS!J29</f>
        <v>644.11</v>
      </c>
      <c r="S43" s="107">
        <f>BS!K29</f>
        <v>622.42200000000003</v>
      </c>
      <c r="T43" s="107">
        <f>BS!L29</f>
        <v>508.17099999999999</v>
      </c>
      <c r="AL43" s="95"/>
      <c r="AM43" s="95"/>
      <c r="AN43" s="95"/>
      <c r="AO43" s="95"/>
      <c r="AP43" s="95"/>
      <c r="AQ43" s="95"/>
      <c r="AR43" s="95"/>
    </row>
    <row r="44" spans="1:44" x14ac:dyDescent="0.2">
      <c r="A44" s="63" t="s">
        <v>322</v>
      </c>
      <c r="B44" s="101">
        <f t="shared" ref="B44:H44" si="17">AVERAGE($J$44:$O$44)</f>
        <v>0.24156515889805688</v>
      </c>
      <c r="C44" s="101">
        <f t="shared" si="17"/>
        <v>0.24156515889805688</v>
      </c>
      <c r="D44" s="101">
        <f t="shared" si="17"/>
        <v>0.24156515889805688</v>
      </c>
      <c r="E44" s="101">
        <f t="shared" si="17"/>
        <v>0.24156515889805688</v>
      </c>
      <c r="F44" s="101">
        <f t="shared" si="17"/>
        <v>0.24156515889805688</v>
      </c>
      <c r="G44" s="101">
        <f t="shared" si="17"/>
        <v>0.24156515889805688</v>
      </c>
      <c r="H44" s="101">
        <f t="shared" si="17"/>
        <v>0.24156515889805688</v>
      </c>
      <c r="I44" s="101">
        <f>AVERAGE($J$44:$O$44)</f>
        <v>0.24156515889805688</v>
      </c>
      <c r="J44" s="127">
        <f t="shared" ref="J44:S44" si="18">J43/J33</f>
        <v>0.28413034162908263</v>
      </c>
      <c r="K44" s="127">
        <f t="shared" si="18"/>
        <v>0.22176722349421543</v>
      </c>
      <c r="L44" s="127">
        <f t="shared" si="18"/>
        <v>0.30862322133898562</v>
      </c>
      <c r="M44" s="127">
        <f t="shared" si="18"/>
        <v>0.24579193925600601</v>
      </c>
      <c r="N44" s="127">
        <f t="shared" si="18"/>
        <v>0.20363474607603158</v>
      </c>
      <c r="O44" s="127">
        <f t="shared" si="18"/>
        <v>0.18544348159402019</v>
      </c>
      <c r="P44" s="127">
        <f t="shared" si="18"/>
        <v>0.21679948107715261</v>
      </c>
      <c r="Q44" s="127">
        <f t="shared" si="18"/>
        <v>0.18592223262404464</v>
      </c>
      <c r="R44" s="127">
        <f t="shared" si="18"/>
        <v>0.18750880616880131</v>
      </c>
      <c r="S44" s="127">
        <f t="shared" si="18"/>
        <v>0.21726747634105739</v>
      </c>
      <c r="T44" s="127">
        <f>T43/T33</f>
        <v>0.19295026861561862</v>
      </c>
      <c r="AL44" s="95"/>
      <c r="AM44" s="95"/>
      <c r="AN44" s="95"/>
      <c r="AO44" s="95"/>
      <c r="AP44" s="95"/>
      <c r="AQ44" s="95"/>
      <c r="AR44" s="95"/>
    </row>
    <row r="45" spans="1:44" x14ac:dyDescent="0.2">
      <c r="A45" s="4" t="str">
        <f>A38</f>
        <v>Depreciation</v>
      </c>
      <c r="B45" s="108">
        <f>B38</f>
        <v>667.29344438271971</v>
      </c>
      <c r="C45" s="108">
        <f t="shared" ref="C45:J45" si="19">C38</f>
        <v>607.59242004479984</v>
      </c>
      <c r="D45" s="108">
        <f t="shared" si="19"/>
        <v>554.85610803199984</v>
      </c>
      <c r="E45" s="108">
        <f t="shared" si="19"/>
        <v>505.78508287999989</v>
      </c>
      <c r="F45" s="108">
        <f t="shared" si="19"/>
        <v>458.33985919999992</v>
      </c>
      <c r="G45" s="108">
        <f t="shared" si="19"/>
        <v>423.01532799999995</v>
      </c>
      <c r="H45" s="108">
        <f t="shared" si="19"/>
        <v>383.10752000000002</v>
      </c>
      <c r="I45" s="108">
        <f t="shared" si="19"/>
        <v>339.72679999999997</v>
      </c>
      <c r="J45" s="107">
        <f t="shared" si="19"/>
        <v>334.70400000000001</v>
      </c>
      <c r="K45" s="107">
        <f t="shared" ref="K45:T45" si="20">K38</f>
        <v>283.33800000000002</v>
      </c>
      <c r="L45" s="107">
        <f t="shared" si="20"/>
        <v>231.27500000000001</v>
      </c>
      <c r="M45" s="107">
        <f t="shared" si="20"/>
        <v>233.77500000000001</v>
      </c>
      <c r="N45" s="107">
        <f t="shared" si="20"/>
        <v>240.67699999999999</v>
      </c>
      <c r="O45" s="107">
        <f t="shared" si="20"/>
        <v>228.52500000000001</v>
      </c>
      <c r="P45" s="107">
        <f t="shared" si="20"/>
        <v>194.666</v>
      </c>
      <c r="Q45" s="107">
        <f t="shared" si="20"/>
        <v>134.54</v>
      </c>
      <c r="R45" s="107">
        <f t="shared" si="20"/>
        <v>130.1</v>
      </c>
      <c r="S45" s="107">
        <f t="shared" si="20"/>
        <v>114.1</v>
      </c>
      <c r="T45" s="107">
        <f t="shared" si="20"/>
        <v>110.2</v>
      </c>
      <c r="AL45" s="95"/>
      <c r="AM45" s="95"/>
      <c r="AN45" s="95"/>
      <c r="AO45" s="95"/>
      <c r="AP45" s="95"/>
      <c r="AQ45" s="95"/>
      <c r="AR45" s="95"/>
    </row>
    <row r="46" spans="1:44" x14ac:dyDescent="0.2">
      <c r="A46" s="4" t="str">
        <f>A39</f>
        <v>Amortization of Intangibles</v>
      </c>
      <c r="B46" s="108">
        <f>B39</f>
        <v>2893.4472636610567</v>
      </c>
      <c r="C46" s="108">
        <f t="shared" ref="C46:J46" si="21">C39</f>
        <v>2755.6640606295778</v>
      </c>
      <c r="D46" s="108">
        <f t="shared" si="21"/>
        <v>2624.4419625043597</v>
      </c>
      <c r="E46" s="108">
        <f t="shared" si="21"/>
        <v>2499.4685357184376</v>
      </c>
      <c r="F46" s="108">
        <f t="shared" si="21"/>
        <v>2380.4462244937499</v>
      </c>
      <c r="G46" s="108">
        <f t="shared" si="21"/>
        <v>2267.091642375</v>
      </c>
      <c r="H46" s="108">
        <f t="shared" si="21"/>
        <v>2159.1348975000001</v>
      </c>
      <c r="I46" s="108">
        <f t="shared" si="21"/>
        <v>2056.3189499999999</v>
      </c>
      <c r="J46" s="107">
        <f t="shared" si="21"/>
        <v>1958.3989999999999</v>
      </c>
      <c r="K46" s="107">
        <f t="shared" ref="K46:T46" si="22">K39</f>
        <v>2014.1610000000001</v>
      </c>
      <c r="L46" s="107">
        <f t="shared" si="22"/>
        <v>843.35900000000004</v>
      </c>
      <c r="M46" s="107">
        <f t="shared" si="22"/>
        <v>577.14800000000002</v>
      </c>
      <c r="N46" s="107">
        <f t="shared" si="22"/>
        <v>570.57399999999996</v>
      </c>
      <c r="O46" s="107">
        <f t="shared" si="22"/>
        <v>570.53800000000001</v>
      </c>
      <c r="P46" s="107">
        <f t="shared" si="22"/>
        <v>389.39299999999997</v>
      </c>
      <c r="Q46" s="107">
        <f t="shared" si="22"/>
        <v>75.25</v>
      </c>
      <c r="R46" s="107">
        <f t="shared" si="22"/>
        <v>92.093000000000004</v>
      </c>
      <c r="S46" s="107">
        <f t="shared" si="22"/>
        <v>27.9</v>
      </c>
      <c r="T46" s="107">
        <f t="shared" si="22"/>
        <v>0.22</v>
      </c>
      <c r="AL46" s="95"/>
      <c r="AM46" s="95"/>
      <c r="AN46" s="95"/>
      <c r="AO46" s="95"/>
      <c r="AP46" s="95"/>
      <c r="AQ46" s="95"/>
      <c r="AR46" s="95"/>
    </row>
    <row r="47" spans="1:44" ht="14.3" thickBot="1" x14ac:dyDescent="0.3">
      <c r="A47" s="49" t="s">
        <v>306</v>
      </c>
      <c r="B47" s="59">
        <f>(B43-C43)+(B45+B46)</f>
        <v>3721.9780769699487</v>
      </c>
      <c r="C47" s="59">
        <f>(C43-D43)+(C45+C46)</f>
        <v>3667.4779314784764</v>
      </c>
      <c r="D47" s="59">
        <f t="shared" ref="D47:I47" si="23">(D43-E43)+(D45+D46)</f>
        <v>3466.2994392194723</v>
      </c>
      <c r="E47" s="59">
        <f t="shared" si="23"/>
        <v>3276.0096267900517</v>
      </c>
      <c r="F47" s="59">
        <f>(F43-G43)+(F45+F46)</f>
        <v>3285.9806918180393</v>
      </c>
      <c r="G47" s="59">
        <f t="shared" si="23"/>
        <v>3092.9849957121978</v>
      </c>
      <c r="H47" s="59">
        <f t="shared" si="23"/>
        <v>2905.1955934794578</v>
      </c>
      <c r="I47" s="59">
        <f t="shared" si="23"/>
        <v>2199.2430770859723</v>
      </c>
      <c r="J47" s="59">
        <f t="shared" ref="J47:S47" si="24">(J43-K43)+(J45+J46)</f>
        <v>3125.1790000000001</v>
      </c>
      <c r="K47" s="52">
        <f t="shared" si="24"/>
        <v>2703.2070000000003</v>
      </c>
      <c r="L47" s="52">
        <f t="shared" si="24"/>
        <v>1956.0409999999999</v>
      </c>
      <c r="M47" s="52">
        <f t="shared" si="24"/>
        <v>968.11999999999989</v>
      </c>
      <c r="N47" s="52">
        <f t="shared" si="24"/>
        <v>876.91200000000003</v>
      </c>
      <c r="O47" s="52">
        <f t="shared" si="24"/>
        <v>846.08699999999988</v>
      </c>
      <c r="P47" s="52">
        <f t="shared" si="24"/>
        <v>1055.2470000000001</v>
      </c>
      <c r="Q47" s="52">
        <f t="shared" si="24"/>
        <v>201.79599999999996</v>
      </c>
      <c r="R47" s="52">
        <f t="shared" si="24"/>
        <v>243.88099999999997</v>
      </c>
      <c r="S47" s="52">
        <f t="shared" si="24"/>
        <v>256.25100000000003</v>
      </c>
      <c r="T47" s="52"/>
      <c r="AL47" s="95"/>
      <c r="AM47" s="95"/>
      <c r="AN47" s="95"/>
      <c r="AO47" s="95"/>
      <c r="AP47" s="95"/>
      <c r="AQ47" s="95"/>
      <c r="AR47" s="95"/>
    </row>
    <row r="48" spans="1:44" ht="13.6" thickTop="1" x14ac:dyDescent="0.2">
      <c r="AL48" s="95"/>
      <c r="AM48" s="95"/>
      <c r="AN48" s="95"/>
      <c r="AO48" s="95"/>
      <c r="AP48" s="95"/>
      <c r="AQ48" s="95"/>
      <c r="AR48" s="95"/>
    </row>
    <row r="49" spans="1:44" ht="13.6" x14ac:dyDescent="0.25">
      <c r="A49" s="77" t="s">
        <v>307</v>
      </c>
      <c r="B49" s="77" t="str">
        <f t="shared" ref="B49:I49" si="25">B42</f>
        <v>OCT '31</v>
      </c>
      <c r="C49" s="77" t="str">
        <f t="shared" si="25"/>
        <v>OCT '30</v>
      </c>
      <c r="D49" s="77" t="str">
        <f t="shared" si="25"/>
        <v>OCT '29</v>
      </c>
      <c r="E49" s="77" t="str">
        <f t="shared" si="25"/>
        <v>OCT '28</v>
      </c>
      <c r="F49" s="77" t="str">
        <f t="shared" si="25"/>
        <v>OCT '27</v>
      </c>
      <c r="G49" s="77" t="str">
        <f t="shared" si="25"/>
        <v>OCT '26</v>
      </c>
      <c r="H49" s="77" t="str">
        <f t="shared" si="25"/>
        <v>OCT '25</v>
      </c>
      <c r="I49" s="77" t="str">
        <f t="shared" si="25"/>
        <v>OCT '24</v>
      </c>
      <c r="J49" s="77" t="str">
        <f t="shared" ref="J49:T49" si="26">J42</f>
        <v>OCT '23</v>
      </c>
      <c r="K49" s="77" t="str">
        <f t="shared" si="26"/>
        <v>OCT '22</v>
      </c>
      <c r="L49" s="77" t="str">
        <f t="shared" si="26"/>
        <v>OCT '21</v>
      </c>
      <c r="M49" s="77" t="str">
        <f t="shared" si="26"/>
        <v>OCT '20</v>
      </c>
      <c r="N49" s="77" t="str">
        <f t="shared" si="26"/>
        <v>OCT '19</v>
      </c>
      <c r="O49" s="77" t="str">
        <f t="shared" si="26"/>
        <v>OCT '18</v>
      </c>
      <c r="P49" s="77" t="str">
        <f t="shared" si="26"/>
        <v>OCT '17</v>
      </c>
      <c r="Q49" s="77" t="str">
        <f t="shared" si="26"/>
        <v>OCT '16</v>
      </c>
      <c r="R49" s="77" t="str">
        <f t="shared" si="26"/>
        <v>OCT '15</v>
      </c>
      <c r="S49" s="77" t="str">
        <f t="shared" si="26"/>
        <v>OCT '14</v>
      </c>
      <c r="T49" s="77" t="str">
        <f t="shared" si="26"/>
        <v>OCT '13</v>
      </c>
      <c r="AL49" s="95"/>
      <c r="AM49" s="95"/>
      <c r="AN49" s="95"/>
      <c r="AO49" s="95"/>
      <c r="AP49" s="95"/>
      <c r="AQ49" s="95"/>
      <c r="AR49" s="95"/>
    </row>
    <row r="50" spans="1:44" x14ac:dyDescent="0.2">
      <c r="A50" s="56" t="s">
        <v>308</v>
      </c>
      <c r="AL50" s="95"/>
      <c r="AM50" s="95"/>
      <c r="AN50" s="95"/>
      <c r="AO50" s="95"/>
      <c r="AP50" s="95"/>
      <c r="AQ50" s="95"/>
      <c r="AR50" s="95"/>
    </row>
    <row r="51" spans="1:44" x14ac:dyDescent="0.2">
      <c r="A51" s="51" t="str">
        <f>BS!A12</f>
        <v>Cash &amp; Short-Term Investments</v>
      </c>
      <c r="B51" s="108">
        <f t="shared" ref="B51:H51" si="27">AVERAGE(C51:E51)*1.1</f>
        <v>1976.5469544123005</v>
      </c>
      <c r="C51" s="108">
        <f t="shared" ref="C51:F54" si="28">AVERAGE(D51:F51)*1.1</f>
        <v>1897.4136949044232</v>
      </c>
      <c r="D51" s="108">
        <f t="shared" si="28"/>
        <v>1787.4305838749622</v>
      </c>
      <c r="E51" s="108">
        <f t="shared" si="28"/>
        <v>1705.7383241632513</v>
      </c>
      <c r="F51" s="108">
        <f t="shared" si="28"/>
        <v>1681.5957144283955</v>
      </c>
      <c r="G51" s="108">
        <f t="shared" si="27"/>
        <v>1487.4766447037039</v>
      </c>
      <c r="H51" s="108">
        <f t="shared" si="27"/>
        <v>1482.9412522222224</v>
      </c>
      <c r="I51" s="108">
        <f>AVERAGE(J51:L51)*1.1</f>
        <v>1615.7522333333334</v>
      </c>
      <c r="J51" s="107">
        <f>BS!B12</f>
        <v>958.06100000000004</v>
      </c>
      <c r="K51" s="107">
        <f>BS!C12</f>
        <v>1470.5719999999999</v>
      </c>
      <c r="L51" s="107">
        <f>BS!D12</f>
        <v>1977.9639999999999</v>
      </c>
      <c r="M51" s="107">
        <f>BS!E12</f>
        <v>1055.8599999999999</v>
      </c>
      <c r="N51" s="107">
        <f>BS!F12</f>
        <v>648.322</v>
      </c>
      <c r="O51" s="107">
        <f>BS!G12</f>
        <v>816.59100000000001</v>
      </c>
      <c r="P51" s="107">
        <f>BS!H12</f>
        <v>1047.838</v>
      </c>
      <c r="Q51" s="107">
        <f>BS!I12</f>
        <v>4055.7930000000001</v>
      </c>
      <c r="R51" s="107">
        <f>BS!J12</f>
        <v>3028.9279999999999</v>
      </c>
      <c r="S51" s="107">
        <f>BS!K12</f>
        <v>2866.4679999999998</v>
      </c>
      <c r="T51" s="107">
        <f>BS!L12</f>
        <v>4682.9120000000003</v>
      </c>
      <c r="AL51" s="95"/>
      <c r="AM51" s="95"/>
      <c r="AN51" s="95"/>
      <c r="AO51" s="95"/>
      <c r="AP51" s="95"/>
      <c r="AQ51" s="95"/>
      <c r="AR51" s="95"/>
    </row>
    <row r="52" spans="1:44" x14ac:dyDescent="0.2">
      <c r="A52" s="51" t="str">
        <f>BS!A15</f>
        <v>Short-Term Receivables</v>
      </c>
      <c r="B52" s="108">
        <f t="shared" ref="B52:I52" si="29">AVERAGE(C52:E52)*1.1</f>
        <v>2394.8108120129655</v>
      </c>
      <c r="C52" s="108">
        <f t="shared" si="28"/>
        <v>2285.140425009547</v>
      </c>
      <c r="D52" s="108">
        <f t="shared" si="28"/>
        <v>2167.7296423032822</v>
      </c>
      <c r="E52" s="108">
        <f t="shared" si="28"/>
        <v>2078.4321472679844</v>
      </c>
      <c r="F52" s="108">
        <f t="shared" si="28"/>
        <v>1986.0393695456796</v>
      </c>
      <c r="G52" s="108">
        <f t="shared" si="29"/>
        <v>1847.5184167407413</v>
      </c>
      <c r="H52" s="108">
        <f t="shared" si="29"/>
        <v>1834.8935244444447</v>
      </c>
      <c r="I52" s="108">
        <f t="shared" si="29"/>
        <v>1734.0590666666671</v>
      </c>
      <c r="J52" s="107">
        <f>BS!B15</f>
        <v>1469.7339999999999</v>
      </c>
      <c r="K52" s="107">
        <f>BS!C15</f>
        <v>1800.462</v>
      </c>
      <c r="L52" s="107">
        <f>BS!D15</f>
        <v>1459.056</v>
      </c>
      <c r="M52" s="107">
        <f>BS!E15</f>
        <v>737.53599999999994</v>
      </c>
      <c r="N52" s="107">
        <f>BS!F15</f>
        <v>635.13599999999997</v>
      </c>
      <c r="O52" s="107">
        <f>BS!G15</f>
        <v>639.71699999999998</v>
      </c>
      <c r="P52" s="107">
        <f>BS!H15</f>
        <v>688.95299999999997</v>
      </c>
      <c r="Q52" s="107">
        <f>BS!I15</f>
        <v>477.60899999999998</v>
      </c>
      <c r="R52" s="107">
        <f>BS!J15</f>
        <v>466.52699999999999</v>
      </c>
      <c r="S52" s="107">
        <f>BS!K15</f>
        <v>396.60500000000002</v>
      </c>
      <c r="T52" s="107">
        <f>BS!L15</f>
        <v>325.14400000000001</v>
      </c>
      <c r="AL52" s="95"/>
      <c r="AM52" s="95"/>
      <c r="AN52" s="95"/>
      <c r="AO52" s="95"/>
      <c r="AP52" s="95"/>
      <c r="AQ52" s="95"/>
      <c r="AR52" s="95"/>
    </row>
    <row r="53" spans="1:44" x14ac:dyDescent="0.2">
      <c r="A53" s="51" t="str">
        <f>BS!A19</f>
        <v>Inventories</v>
      </c>
      <c r="B53" s="108">
        <f t="shared" ref="B53:I53" si="30">AVERAGE(C53:E53)*1.1</f>
        <v>2252.475446334407</v>
      </c>
      <c r="C53" s="108">
        <f t="shared" si="28"/>
        <v>2143.1938928179493</v>
      </c>
      <c r="D53" s="108">
        <f t="shared" si="28"/>
        <v>2048.6240146526998</v>
      </c>
      <c r="E53" s="108">
        <f t="shared" si="28"/>
        <v>1951.2969461686425</v>
      </c>
      <c r="F53" s="108">
        <f t="shared" si="28"/>
        <v>1845.1532923185189</v>
      </c>
      <c r="G53" s="108">
        <f t="shared" si="30"/>
        <v>1790.7061651111112</v>
      </c>
      <c r="H53" s="108">
        <f t="shared" si="30"/>
        <v>1685.8594866666667</v>
      </c>
      <c r="I53" s="108">
        <f t="shared" si="30"/>
        <v>1555.6705999999999</v>
      </c>
      <c r="J53" s="107">
        <f>BS!B19</f>
        <v>1642.2139999999999</v>
      </c>
      <c r="K53" s="107">
        <f>BS!C19</f>
        <v>1399.914</v>
      </c>
      <c r="L53" s="107">
        <f>BS!D19</f>
        <v>1200.6099999999999</v>
      </c>
      <c r="M53" s="107">
        <f>BS!E19</f>
        <v>608.26</v>
      </c>
      <c r="N53" s="107">
        <f>BS!F19</f>
        <v>609.88599999999997</v>
      </c>
      <c r="O53" s="107">
        <f>BS!G19</f>
        <v>586.76</v>
      </c>
      <c r="P53" s="107">
        <f>BS!H19</f>
        <v>550.81600000000003</v>
      </c>
      <c r="Q53" s="107">
        <f>BS!I19</f>
        <v>376.55500000000001</v>
      </c>
      <c r="R53" s="107">
        <f>BS!J19</f>
        <v>412.31400000000002</v>
      </c>
      <c r="S53" s="107">
        <f>BS!K19</f>
        <v>367.92700000000002</v>
      </c>
      <c r="T53" s="107">
        <f>BS!L19</f>
        <v>283.33699999999999</v>
      </c>
      <c r="AL53" s="95"/>
      <c r="AM53" s="95"/>
      <c r="AN53" s="95"/>
      <c r="AO53" s="95"/>
      <c r="AP53" s="95"/>
      <c r="AQ53" s="95"/>
      <c r="AR53" s="95"/>
    </row>
    <row r="54" spans="1:44" x14ac:dyDescent="0.2">
      <c r="A54" s="51" t="str">
        <f>BS!A23</f>
        <v>Other Current Assets</v>
      </c>
      <c r="B54" s="110">
        <f t="shared" ref="B54:I54" si="31">AVERAGE(C54:E54)*1.1</f>
        <v>561.53797641133599</v>
      </c>
      <c r="C54" s="110">
        <f t="shared" si="28"/>
        <v>539.9000123664398</v>
      </c>
      <c r="D54" s="110">
        <f t="shared" si="28"/>
        <v>512.05557683000563</v>
      </c>
      <c r="E54" s="110">
        <f t="shared" si="28"/>
        <v>479.51161919810716</v>
      </c>
      <c r="F54" s="110">
        <f t="shared" si="28"/>
        <v>480.8873831530866</v>
      </c>
      <c r="G54" s="110">
        <f t="shared" si="31"/>
        <v>436.11620718518526</v>
      </c>
      <c r="H54" s="110">
        <f t="shared" si="31"/>
        <v>390.75537111111117</v>
      </c>
      <c r="I54" s="110">
        <f t="shared" si="31"/>
        <v>484.63946666666675</v>
      </c>
      <c r="J54" s="109">
        <f>BS!B23</f>
        <v>314.01299999999998</v>
      </c>
      <c r="K54" s="109">
        <f>BS!C23</f>
        <v>267.04399999999998</v>
      </c>
      <c r="L54" s="109">
        <f>BS!D23</f>
        <v>740.68700000000001</v>
      </c>
      <c r="M54" s="109">
        <f>BS!E23</f>
        <v>116.032</v>
      </c>
      <c r="N54" s="109">
        <f>BS!F23</f>
        <v>91.781999999999996</v>
      </c>
      <c r="O54" s="109">
        <f>BS!G23</f>
        <v>69.058000000000007</v>
      </c>
      <c r="P54" s="109">
        <f>BS!H23</f>
        <v>63.731000000000002</v>
      </c>
      <c r="Q54" s="109">
        <f>BS!I23</f>
        <v>64.906000000000006</v>
      </c>
      <c r="R54" s="109">
        <f>BS!J23</f>
        <v>171.779</v>
      </c>
      <c r="S54" s="109">
        <f>BS!K23</f>
        <v>180.886</v>
      </c>
      <c r="T54" s="109">
        <f>BS!L23</f>
        <v>181.03200000000001</v>
      </c>
      <c r="AL54" s="95"/>
      <c r="AM54" s="95"/>
      <c r="AN54" s="95"/>
      <c r="AO54" s="95"/>
      <c r="AP54" s="95"/>
      <c r="AQ54" s="95"/>
      <c r="AR54" s="95"/>
    </row>
    <row r="55" spans="1:44" x14ac:dyDescent="0.2">
      <c r="A55" s="4" t="str">
        <f>BS!A26</f>
        <v>Total Current Assets</v>
      </c>
      <c r="B55" s="108">
        <f t="shared" ref="B55" si="32">SUM(B51:B54)</f>
        <v>7185.3711891710091</v>
      </c>
      <c r="C55" s="108">
        <f t="shared" ref="C55" si="33">SUM(C51:C54)</f>
        <v>6865.6480250983595</v>
      </c>
      <c r="D55" s="108">
        <f t="shared" ref="D55" si="34">SUM(D51:D54)</f>
        <v>6515.8398176609498</v>
      </c>
      <c r="E55" s="108">
        <f t="shared" ref="E55" si="35">SUM(E51:E54)</f>
        <v>6214.9790367979849</v>
      </c>
      <c r="F55" s="108">
        <f t="shared" ref="F55" si="36">SUM(F51:F54)</f>
        <v>5993.6757594456803</v>
      </c>
      <c r="G55" s="108">
        <f t="shared" ref="G55" si="37">SUM(G51:G54)</f>
        <v>5561.8174337407418</v>
      </c>
      <c r="H55" s="108">
        <f t="shared" ref="H55" si="38">SUM(H51:H54)</f>
        <v>5394.4496344444451</v>
      </c>
      <c r="I55" s="108">
        <f t="shared" ref="I55" si="39">SUM(I51:I54)</f>
        <v>5390.1213666666672</v>
      </c>
      <c r="J55" s="107">
        <f t="shared" ref="J55:T55" si="40">SUM(J51:J54)</f>
        <v>4384.0219999999999</v>
      </c>
      <c r="K55" s="107">
        <f t="shared" si="40"/>
        <v>4937.9919999999993</v>
      </c>
      <c r="L55" s="107">
        <f t="shared" si="40"/>
        <v>5378.317</v>
      </c>
      <c r="M55" s="107">
        <f t="shared" si="40"/>
        <v>2517.6880000000001</v>
      </c>
      <c r="N55" s="107">
        <f t="shared" si="40"/>
        <v>1985.126</v>
      </c>
      <c r="O55" s="107">
        <f t="shared" si="40"/>
        <v>2112.1260000000002</v>
      </c>
      <c r="P55" s="107">
        <f t="shared" si="40"/>
        <v>2351.3380000000002</v>
      </c>
      <c r="Q55" s="107">
        <f t="shared" si="40"/>
        <v>4974.8630000000003</v>
      </c>
      <c r="R55" s="107">
        <f t="shared" si="40"/>
        <v>4079.5479999999998</v>
      </c>
      <c r="S55" s="107">
        <f t="shared" si="40"/>
        <v>3811.886</v>
      </c>
      <c r="T55" s="107">
        <f t="shared" si="40"/>
        <v>5472.4250000000002</v>
      </c>
      <c r="AL55" s="95"/>
      <c r="AM55" s="95"/>
      <c r="AN55" s="95"/>
      <c r="AO55" s="95"/>
      <c r="AP55" s="95"/>
      <c r="AQ55" s="95"/>
      <c r="AR55" s="95"/>
    </row>
    <row r="56" spans="1:44" x14ac:dyDescent="0.2">
      <c r="A56" s="55" t="s">
        <v>309</v>
      </c>
      <c r="B56" s="108"/>
      <c r="C56" s="108"/>
      <c r="D56" s="108"/>
      <c r="E56" s="108"/>
      <c r="F56" s="108"/>
      <c r="G56" s="108"/>
      <c r="H56" s="108"/>
      <c r="I56" s="108"/>
      <c r="J56" s="95"/>
      <c r="K56" s="95"/>
      <c r="L56" s="95"/>
      <c r="M56" s="95"/>
      <c r="N56" s="95"/>
      <c r="O56" s="95"/>
      <c r="P56" s="95"/>
      <c r="Q56" s="95"/>
      <c r="R56" s="95"/>
      <c r="S56" s="95"/>
      <c r="T56" s="95"/>
      <c r="AL56" s="95"/>
      <c r="AM56" s="95"/>
      <c r="AN56" s="95"/>
      <c r="AO56" s="95"/>
      <c r="AP56" s="95"/>
      <c r="AQ56" s="95"/>
      <c r="AR56" s="95"/>
    </row>
    <row r="57" spans="1:44" x14ac:dyDescent="0.2">
      <c r="A57" s="51" t="str">
        <f>BS!A50</f>
        <v>Accounts Payable</v>
      </c>
      <c r="B57" s="108">
        <f t="shared" ref="B57:I57" si="41">AVERAGE(C57:E57)*1.1</f>
        <v>780.38830318513919</v>
      </c>
      <c r="C57" s="108">
        <f t="shared" ref="C57:F60" si="42">AVERAGE(D57:F57)*1.1</f>
        <v>744.11635195464874</v>
      </c>
      <c r="D57" s="108">
        <f t="shared" si="42"/>
        <v>706.62386314206458</v>
      </c>
      <c r="E57" s="108">
        <f t="shared" si="42"/>
        <v>677.59152086275731</v>
      </c>
      <c r="F57" s="108">
        <f t="shared" si="42"/>
        <v>645.19284859876552</v>
      </c>
      <c r="G57" s="108">
        <f t="shared" si="41"/>
        <v>604.37162092592598</v>
      </c>
      <c r="H57" s="108">
        <f t="shared" si="41"/>
        <v>598.41240555555555</v>
      </c>
      <c r="I57" s="108">
        <f t="shared" si="41"/>
        <v>556.83283333333338</v>
      </c>
      <c r="J57" s="107">
        <f>BS!B50</f>
        <v>493.041</v>
      </c>
      <c r="K57" s="107">
        <f>BS!C50</f>
        <v>582.16</v>
      </c>
      <c r="L57" s="107">
        <f>BS!D50</f>
        <v>443.43400000000003</v>
      </c>
      <c r="M57" s="107">
        <f>BS!E50</f>
        <v>227.273</v>
      </c>
      <c r="N57" s="107">
        <f>BS!F50</f>
        <v>225.27</v>
      </c>
      <c r="O57" s="107">
        <f>BS!G50</f>
        <v>260.91899999999998</v>
      </c>
      <c r="P57" s="107">
        <f>BS!H50</f>
        <v>236.62899999999999</v>
      </c>
      <c r="Q57" s="107">
        <f>BS!I50</f>
        <v>171.43899999999999</v>
      </c>
      <c r="R57" s="107">
        <f>BS!J50</f>
        <v>174.24700000000001</v>
      </c>
      <c r="S57" s="107">
        <f>BS!K50</f>
        <v>138.96700000000001</v>
      </c>
      <c r="T57" s="107">
        <f>BS!L50</f>
        <v>119.994</v>
      </c>
      <c r="AL57" s="95"/>
      <c r="AM57" s="95"/>
      <c r="AN57" s="95"/>
      <c r="AO57" s="95"/>
      <c r="AP57" s="95"/>
      <c r="AQ57" s="95"/>
      <c r="AR57" s="95"/>
    </row>
    <row r="58" spans="1:44" x14ac:dyDescent="0.2">
      <c r="A58" s="51" t="str">
        <f>BS!A51</f>
        <v>Income Tax Payable</v>
      </c>
      <c r="B58" s="108">
        <f t="shared" ref="B58:I58" si="43">AVERAGE(C58:E58)*1.1</f>
        <v>491.58935488362698</v>
      </c>
      <c r="C58" s="108">
        <f t="shared" si="42"/>
        <v>468.5912947534519</v>
      </c>
      <c r="D58" s="108">
        <f t="shared" si="42"/>
        <v>447.43204086747608</v>
      </c>
      <c r="E58" s="108">
        <f t="shared" si="42"/>
        <v>424.67490497078194</v>
      </c>
      <c r="F58" s="108">
        <f t="shared" si="42"/>
        <v>405.86931258024697</v>
      </c>
      <c r="G58" s="108">
        <f t="shared" si="43"/>
        <v>389.72498481481483</v>
      </c>
      <c r="H58" s="108">
        <f t="shared" si="43"/>
        <v>362.60998888888889</v>
      </c>
      <c r="I58" s="108">
        <f t="shared" si="43"/>
        <v>354.5813333333333</v>
      </c>
      <c r="J58" s="107">
        <f>BS!B51</f>
        <v>345.69499999999999</v>
      </c>
      <c r="K58" s="107">
        <f>BS!C51</f>
        <v>288.66000000000003</v>
      </c>
      <c r="L58" s="107">
        <f>BS!D51</f>
        <v>332.685</v>
      </c>
      <c r="M58" s="107">
        <f>BS!E51</f>
        <v>182.08</v>
      </c>
      <c r="N58" s="107">
        <f>BS!F51</f>
        <v>187.87899999999999</v>
      </c>
      <c r="O58" s="107">
        <f>BS!G51</f>
        <v>93.721999999999994</v>
      </c>
      <c r="P58" s="107">
        <f>BS!H51</f>
        <v>86.905000000000001</v>
      </c>
      <c r="Q58" s="107">
        <f>BS!I51</f>
        <v>4.0999999999999996</v>
      </c>
      <c r="R58" s="107">
        <f>BS!J51</f>
        <v>15.061999999999999</v>
      </c>
      <c r="S58" s="107">
        <f>BS!K51</f>
        <v>62.77</v>
      </c>
      <c r="T58" s="107">
        <f>BS!L51</f>
        <v>45.49</v>
      </c>
      <c r="AL58" s="95"/>
      <c r="AM58" s="95"/>
      <c r="AN58" s="95"/>
      <c r="AO58" s="95"/>
      <c r="AP58" s="95"/>
      <c r="AQ58" s="95"/>
      <c r="AR58" s="95"/>
    </row>
    <row r="59" spans="1:44" x14ac:dyDescent="0.2">
      <c r="A59" s="51" t="str">
        <f>BS!A53</f>
        <v>Accrued Payroll</v>
      </c>
      <c r="B59" s="108">
        <f t="shared" ref="B59:I59" si="44">AVERAGE(C59:E59)*1.1</f>
        <v>566.49439729406947</v>
      </c>
      <c r="C59" s="108">
        <f t="shared" si="42"/>
        <v>541.57903129541978</v>
      </c>
      <c r="D59" s="108">
        <f t="shared" si="42"/>
        <v>511.42628222609756</v>
      </c>
      <c r="E59" s="108">
        <f t="shared" si="42"/>
        <v>491.97940637139936</v>
      </c>
      <c r="F59" s="108">
        <f t="shared" si="42"/>
        <v>473.62803311728413</v>
      </c>
      <c r="G59" s="108">
        <f t="shared" si="44"/>
        <v>429.19151203703711</v>
      </c>
      <c r="H59" s="108">
        <f t="shared" si="44"/>
        <v>438.94247222222231</v>
      </c>
      <c r="I59" s="108">
        <f t="shared" si="44"/>
        <v>423.57883333333342</v>
      </c>
      <c r="J59" s="107">
        <f>BS!B53</f>
        <v>308.00099999999998</v>
      </c>
      <c r="K59" s="107">
        <f>BS!C53</f>
        <v>465.536</v>
      </c>
      <c r="L59" s="107">
        <f>BS!D53</f>
        <v>381.678</v>
      </c>
      <c r="M59" s="107">
        <f>BS!E53</f>
        <v>163.75200000000001</v>
      </c>
      <c r="N59" s="107">
        <f>BS!F53</f>
        <v>168.471</v>
      </c>
      <c r="O59" s="107">
        <f>BS!G53</f>
        <v>254.93199999999999</v>
      </c>
      <c r="P59" s="107">
        <f>BS!H53</f>
        <v>271.32100000000003</v>
      </c>
      <c r="Q59" s="107">
        <f>BS!I53</f>
        <v>112.003</v>
      </c>
      <c r="R59" s="107">
        <f>BS!J53</f>
        <v>125.5</v>
      </c>
      <c r="S59" s="107">
        <f>BS!K53</f>
        <v>101.307</v>
      </c>
      <c r="T59" s="107">
        <f>BS!L53</f>
        <v>71.093999999999994</v>
      </c>
      <c r="AL59" s="95"/>
      <c r="AM59" s="95"/>
      <c r="AN59" s="95"/>
      <c r="AO59" s="95"/>
      <c r="AP59" s="95"/>
      <c r="AQ59" s="95"/>
      <c r="AR59" s="95"/>
    </row>
    <row r="60" spans="1:44" x14ac:dyDescent="0.2">
      <c r="A60" s="51" t="str">
        <f>BS!A54</f>
        <v>Miscellaneous Current Liabilities</v>
      </c>
      <c r="B60" s="110">
        <f t="shared" ref="B60:I60" si="45">AVERAGE(C60:E60)*1.1</f>
        <v>1511.7212565152809</v>
      </c>
      <c r="C60" s="110">
        <f t="shared" si="42"/>
        <v>1443.3024081210881</v>
      </c>
      <c r="D60" s="110">
        <f t="shared" si="42"/>
        <v>1370.6743403415369</v>
      </c>
      <c r="E60" s="110">
        <f t="shared" si="42"/>
        <v>1308.8994056699594</v>
      </c>
      <c r="F60" s="110">
        <f t="shared" si="42"/>
        <v>1256.7055488641979</v>
      </c>
      <c r="G60" s="110">
        <f t="shared" si="45"/>
        <v>1172.597791851852</v>
      </c>
      <c r="H60" s="110">
        <f t="shared" si="45"/>
        <v>1140.4223111111114</v>
      </c>
      <c r="I60" s="110">
        <f t="shared" si="45"/>
        <v>1114.3586666666667</v>
      </c>
      <c r="J60" s="109">
        <f>BS!B54</f>
        <v>943.21299999999997</v>
      </c>
      <c r="K60" s="109">
        <f>BS!C54</f>
        <v>1052.671</v>
      </c>
      <c r="L60" s="109">
        <f>BS!D54</f>
        <v>1043.2760000000001</v>
      </c>
      <c r="M60" s="109">
        <f>BS!E54</f>
        <v>751.95799999999997</v>
      </c>
      <c r="N60" s="109">
        <f>BS!F54</f>
        <v>627.34500000000003</v>
      </c>
      <c r="O60" s="109">
        <f>BS!G54</f>
        <v>375.17500000000001</v>
      </c>
      <c r="P60" s="109">
        <f>BS!H54</f>
        <v>701.47699999999998</v>
      </c>
      <c r="Q60" s="109">
        <f>BS!I54</f>
        <v>495.392</v>
      </c>
      <c r="R60" s="109">
        <f>BS!J54</f>
        <v>424.18200000000002</v>
      </c>
      <c r="S60" s="109">
        <f>BS!K54</f>
        <v>406.012</v>
      </c>
      <c r="T60" s="109">
        <f>BS!L54</f>
        <v>333.93400000000003</v>
      </c>
      <c r="AL60" s="95"/>
      <c r="AM60" s="95"/>
      <c r="AN60" s="95"/>
      <c r="AO60" s="95"/>
      <c r="AP60" s="95"/>
      <c r="AQ60" s="95"/>
      <c r="AR60" s="95"/>
    </row>
    <row r="61" spans="1:44" x14ac:dyDescent="0.2">
      <c r="A61" t="s">
        <v>313</v>
      </c>
      <c r="B61" s="108">
        <f t="shared" ref="B61:H61" si="46">SUM(B57:B60)</f>
        <v>3350.1933118781167</v>
      </c>
      <c r="C61" s="108">
        <f t="shared" si="46"/>
        <v>3197.5890861246085</v>
      </c>
      <c r="D61" s="108">
        <f t="shared" si="46"/>
        <v>3036.1565265771751</v>
      </c>
      <c r="E61" s="108">
        <f t="shared" si="46"/>
        <v>2903.1452378748982</v>
      </c>
      <c r="F61" s="108">
        <f t="shared" si="46"/>
        <v>2781.3957431604945</v>
      </c>
      <c r="G61" s="108">
        <f t="shared" si="46"/>
        <v>2595.8859096296301</v>
      </c>
      <c r="H61" s="108">
        <f t="shared" si="46"/>
        <v>2540.3871777777781</v>
      </c>
      <c r="I61" s="108">
        <f>SUM(I57:I60)</f>
        <v>2449.3516666666669</v>
      </c>
      <c r="J61" s="107">
        <f>SUM(J57:J60)</f>
        <v>2089.9499999999998</v>
      </c>
      <c r="K61" s="107">
        <f t="shared" ref="K61:T61" si="47">SUM(K57:K60)</f>
        <v>2389.027</v>
      </c>
      <c r="L61" s="107">
        <f t="shared" si="47"/>
        <v>2201.0730000000003</v>
      </c>
      <c r="M61" s="107">
        <f t="shared" si="47"/>
        <v>1325.0630000000001</v>
      </c>
      <c r="N61" s="107">
        <f t="shared" si="47"/>
        <v>1208.9650000000001</v>
      </c>
      <c r="O61" s="107">
        <f t="shared" si="47"/>
        <v>984.74800000000005</v>
      </c>
      <c r="P61" s="107">
        <f t="shared" si="47"/>
        <v>1296.3319999999999</v>
      </c>
      <c r="Q61" s="107">
        <f t="shared" si="47"/>
        <v>782.93399999999997</v>
      </c>
      <c r="R61" s="107">
        <f t="shared" si="47"/>
        <v>738.99099999999999</v>
      </c>
      <c r="S61" s="107">
        <f t="shared" si="47"/>
        <v>709.05600000000004</v>
      </c>
      <c r="T61" s="107">
        <f t="shared" si="47"/>
        <v>570.51200000000006</v>
      </c>
    </row>
    <row r="62" spans="1:44" x14ac:dyDescent="0.2">
      <c r="A62" t="s">
        <v>311</v>
      </c>
      <c r="B62" s="108">
        <f>B55-B61</f>
        <v>3835.1778772928924</v>
      </c>
      <c r="C62" s="108">
        <f t="shared" ref="C62" si="48">C55-C61</f>
        <v>3668.0589389737511</v>
      </c>
      <c r="D62" s="108">
        <f t="shared" ref="D62" si="49">D55-D61</f>
        <v>3479.6832910837747</v>
      </c>
      <c r="E62" s="108">
        <f t="shared" ref="E62" si="50">E55-E61</f>
        <v>3311.8337989230868</v>
      </c>
      <c r="F62" s="108">
        <f t="shared" ref="F62" si="51">F55-F61</f>
        <v>3212.2800162851859</v>
      </c>
      <c r="G62" s="108">
        <f t="shared" ref="G62" si="52">G55-G61</f>
        <v>2965.9315241111117</v>
      </c>
      <c r="H62" s="108">
        <f t="shared" ref="H62" si="53">H55-H61</f>
        <v>2854.062456666667</v>
      </c>
      <c r="I62" s="108">
        <f t="shared" ref="I62:T62" si="54">I55-I61</f>
        <v>2940.7697000000003</v>
      </c>
      <c r="J62" s="107">
        <f t="shared" si="54"/>
        <v>2294.0720000000001</v>
      </c>
      <c r="K62" s="107">
        <f t="shared" si="54"/>
        <v>2548.9649999999992</v>
      </c>
      <c r="L62" s="107">
        <f t="shared" si="54"/>
        <v>3177.2439999999997</v>
      </c>
      <c r="M62" s="107">
        <f t="shared" si="54"/>
        <v>1192.625</v>
      </c>
      <c r="N62" s="107">
        <f t="shared" si="54"/>
        <v>776.16099999999983</v>
      </c>
      <c r="O62" s="107">
        <f t="shared" si="54"/>
        <v>1127.3780000000002</v>
      </c>
      <c r="P62" s="107">
        <f t="shared" si="54"/>
        <v>1055.0060000000003</v>
      </c>
      <c r="Q62" s="107">
        <f t="shared" si="54"/>
        <v>4191.9290000000001</v>
      </c>
      <c r="R62" s="107">
        <f t="shared" si="54"/>
        <v>3340.5569999999998</v>
      </c>
      <c r="S62" s="107">
        <f t="shared" si="54"/>
        <v>3102.83</v>
      </c>
      <c r="T62" s="107">
        <f t="shared" si="54"/>
        <v>4901.9130000000005</v>
      </c>
    </row>
    <row r="63" spans="1:44" ht="14.3" thickBot="1" x14ac:dyDescent="0.3">
      <c r="A63" s="49" t="s">
        <v>310</v>
      </c>
      <c r="B63" s="59">
        <f>B62-C62</f>
        <v>167.11893831914131</v>
      </c>
      <c r="C63" s="59">
        <f>C62-D62</f>
        <v>188.37564788997634</v>
      </c>
      <c r="D63" s="59">
        <f t="shared" ref="D63:G63" si="55">D62-E62</f>
        <v>167.84949216068799</v>
      </c>
      <c r="E63" s="59">
        <f t="shared" si="55"/>
        <v>99.553782637900895</v>
      </c>
      <c r="F63" s="59">
        <f>F62-G62</f>
        <v>246.34849217407418</v>
      </c>
      <c r="G63" s="59">
        <f t="shared" si="55"/>
        <v>111.86906744444468</v>
      </c>
      <c r="H63" s="59">
        <f>H62-I62</f>
        <v>-86.707243333333281</v>
      </c>
      <c r="I63" s="59">
        <f>I62-J62</f>
        <v>646.69770000000017</v>
      </c>
      <c r="J63" s="59">
        <f>J62-K62</f>
        <v>-254.89299999999912</v>
      </c>
      <c r="K63" s="52">
        <f t="shared" ref="K63:S63" si="56">K62-L62</f>
        <v>-628.27900000000045</v>
      </c>
      <c r="L63" s="52">
        <f t="shared" si="56"/>
        <v>1984.6189999999997</v>
      </c>
      <c r="M63" s="52">
        <f t="shared" si="56"/>
        <v>416.46400000000017</v>
      </c>
      <c r="N63" s="52">
        <f t="shared" si="56"/>
        <v>-351.21700000000033</v>
      </c>
      <c r="O63" s="52">
        <f t="shared" si="56"/>
        <v>72.371999999999844</v>
      </c>
      <c r="P63" s="52">
        <f t="shared" si="56"/>
        <v>-3136.9229999999998</v>
      </c>
      <c r="Q63" s="52">
        <f t="shared" si="56"/>
        <v>851.3720000000003</v>
      </c>
      <c r="R63" s="52">
        <f t="shared" si="56"/>
        <v>237.72699999999986</v>
      </c>
      <c r="S63" s="52">
        <f t="shared" si="56"/>
        <v>-1799.0830000000005</v>
      </c>
      <c r="T63" s="52"/>
    </row>
    <row r="64" spans="1:44" ht="13.6" thickTop="1" x14ac:dyDescent="0.2"/>
    <row r="65" spans="1:28" ht="13.6" x14ac:dyDescent="0.25">
      <c r="A65" s="77" t="s">
        <v>164</v>
      </c>
      <c r="B65" s="77" t="str">
        <f t="shared" ref="B65:I65" si="57">B49</f>
        <v>OCT '31</v>
      </c>
      <c r="C65" s="77" t="str">
        <f t="shared" si="57"/>
        <v>OCT '30</v>
      </c>
      <c r="D65" s="77" t="str">
        <f t="shared" si="57"/>
        <v>OCT '29</v>
      </c>
      <c r="E65" s="77" t="str">
        <f t="shared" si="57"/>
        <v>OCT '28</v>
      </c>
      <c r="F65" s="77" t="str">
        <f t="shared" si="57"/>
        <v>OCT '27</v>
      </c>
      <c r="G65" s="77" t="str">
        <f t="shared" si="57"/>
        <v>OCT '26</v>
      </c>
      <c r="H65" s="77" t="str">
        <f t="shared" si="57"/>
        <v>OCT '25</v>
      </c>
      <c r="I65" s="77" t="str">
        <f t="shared" si="57"/>
        <v>OCT '24</v>
      </c>
      <c r="J65" s="77" t="str">
        <f t="shared" ref="J65:T65" si="58">J49</f>
        <v>OCT '23</v>
      </c>
      <c r="K65" s="77" t="str">
        <f t="shared" si="58"/>
        <v>OCT '22</v>
      </c>
      <c r="L65" s="77" t="str">
        <f t="shared" si="58"/>
        <v>OCT '21</v>
      </c>
      <c r="M65" s="77" t="str">
        <f t="shared" si="58"/>
        <v>OCT '20</v>
      </c>
      <c r="N65" s="77" t="str">
        <f t="shared" si="58"/>
        <v>OCT '19</v>
      </c>
      <c r="O65" s="77" t="str">
        <f t="shared" si="58"/>
        <v>OCT '18</v>
      </c>
      <c r="P65" s="77" t="str">
        <f t="shared" si="58"/>
        <v>OCT '17</v>
      </c>
      <c r="Q65" s="77" t="str">
        <f t="shared" si="58"/>
        <v>OCT '16</v>
      </c>
      <c r="R65" s="77" t="str">
        <f t="shared" si="58"/>
        <v>OCT '15</v>
      </c>
      <c r="S65" s="77" t="str">
        <f t="shared" si="58"/>
        <v>OCT '14</v>
      </c>
      <c r="T65" s="77" t="str">
        <f t="shared" si="58"/>
        <v>OCT '13</v>
      </c>
    </row>
    <row r="66" spans="1:28" x14ac:dyDescent="0.2">
      <c r="A66" s="58" t="str">
        <f>A40</f>
        <v>NOPAT</v>
      </c>
      <c r="B66" s="57">
        <f t="shared" ref="B66:I66" si="59">B40</f>
        <v>9662.2440914175295</v>
      </c>
      <c r="C66" s="57">
        <f t="shared" si="59"/>
        <v>9484.5058296901152</v>
      </c>
      <c r="D66" s="57">
        <f t="shared" si="59"/>
        <v>8954.0616073436595</v>
      </c>
      <c r="E66" s="57">
        <f t="shared" si="59"/>
        <v>8453.1437476619285</v>
      </c>
      <c r="F66" s="57">
        <f t="shared" si="59"/>
        <v>8088.8323634769877</v>
      </c>
      <c r="G66" s="57">
        <f t="shared" si="59"/>
        <v>7419.8783936031432</v>
      </c>
      <c r="H66" s="57">
        <f t="shared" si="59"/>
        <v>6803.2977537415682</v>
      </c>
      <c r="I66" s="57">
        <f t="shared" si="59"/>
        <v>6234.8343412086197</v>
      </c>
      <c r="J66" s="57">
        <f t="shared" ref="J66:T66" si="60">J40</f>
        <v>6179.9916548590027</v>
      </c>
      <c r="K66" s="57">
        <f t="shared" si="60"/>
        <v>5723.2516362546958</v>
      </c>
      <c r="L66" s="57">
        <f t="shared" si="60"/>
        <v>3005.598809394713</v>
      </c>
      <c r="M66" s="57">
        <f t="shared" si="60"/>
        <v>2358.630583076093</v>
      </c>
      <c r="N66" s="57">
        <f t="shared" si="60"/>
        <v>2572.9303302379458</v>
      </c>
      <c r="O66" s="57">
        <f t="shared" si="60"/>
        <v>2713.6155660719755</v>
      </c>
      <c r="P66" s="57">
        <f t="shared" si="60"/>
        <v>1731.8390975693994</v>
      </c>
      <c r="Q66" s="57">
        <f t="shared" si="60"/>
        <v>1231.1300472378484</v>
      </c>
      <c r="R66" s="57">
        <f t="shared" si="60"/>
        <v>1021.2844334568041</v>
      </c>
      <c r="S66" s="57">
        <f t="shared" si="60"/>
        <v>942.62058471229659</v>
      </c>
      <c r="T66" s="57">
        <f t="shared" si="60"/>
        <v>851.17907456005639</v>
      </c>
    </row>
    <row r="67" spans="1:28" x14ac:dyDescent="0.2">
      <c r="A67" s="58" t="str">
        <f t="shared" ref="A67:I67" si="61">A47</f>
        <v>CapEx</v>
      </c>
      <c r="B67" s="57">
        <f t="shared" si="61"/>
        <v>3721.9780769699487</v>
      </c>
      <c r="C67" s="57">
        <f t="shared" si="61"/>
        <v>3667.4779314784764</v>
      </c>
      <c r="D67" s="57">
        <f t="shared" si="61"/>
        <v>3466.2994392194723</v>
      </c>
      <c r="E67" s="57">
        <f t="shared" si="61"/>
        <v>3276.0096267900517</v>
      </c>
      <c r="F67" s="57">
        <f t="shared" si="61"/>
        <v>3285.9806918180393</v>
      </c>
      <c r="G67" s="57">
        <f t="shared" si="61"/>
        <v>3092.9849957121978</v>
      </c>
      <c r="H67" s="57">
        <f t="shared" si="61"/>
        <v>2905.1955934794578</v>
      </c>
      <c r="I67" s="57">
        <f t="shared" si="61"/>
        <v>2199.2430770859723</v>
      </c>
      <c r="J67" s="57">
        <f t="shared" ref="J67:S67" si="62">J47</f>
        <v>3125.1790000000001</v>
      </c>
      <c r="K67" s="57">
        <f t="shared" si="62"/>
        <v>2703.2070000000003</v>
      </c>
      <c r="L67" s="57">
        <f t="shared" si="62"/>
        <v>1956.0409999999999</v>
      </c>
      <c r="M67" s="57">
        <f t="shared" si="62"/>
        <v>968.11999999999989</v>
      </c>
      <c r="N67" s="57">
        <f t="shared" si="62"/>
        <v>876.91200000000003</v>
      </c>
      <c r="O67" s="57">
        <f t="shared" si="62"/>
        <v>846.08699999999988</v>
      </c>
      <c r="P67" s="57">
        <f t="shared" si="62"/>
        <v>1055.2470000000001</v>
      </c>
      <c r="Q67" s="57">
        <f t="shared" si="62"/>
        <v>201.79599999999996</v>
      </c>
      <c r="R67" s="57">
        <f t="shared" si="62"/>
        <v>243.88099999999997</v>
      </c>
      <c r="S67" s="57">
        <f t="shared" si="62"/>
        <v>256.25100000000003</v>
      </c>
      <c r="T67" s="57"/>
    </row>
    <row r="68" spans="1:28" x14ac:dyDescent="0.2">
      <c r="A68" s="58" t="str">
        <f t="shared" ref="A68:I68" si="63">A63</f>
        <v>∆ In NOWC</v>
      </c>
      <c r="B68" s="57">
        <f t="shared" si="63"/>
        <v>167.11893831914131</v>
      </c>
      <c r="C68" s="57">
        <f t="shared" si="63"/>
        <v>188.37564788997634</v>
      </c>
      <c r="D68" s="57">
        <f t="shared" si="63"/>
        <v>167.84949216068799</v>
      </c>
      <c r="E68" s="57">
        <f t="shared" si="63"/>
        <v>99.553782637900895</v>
      </c>
      <c r="F68" s="57">
        <f t="shared" si="63"/>
        <v>246.34849217407418</v>
      </c>
      <c r="G68" s="57">
        <f t="shared" si="63"/>
        <v>111.86906744444468</v>
      </c>
      <c r="H68" s="57">
        <f t="shared" si="63"/>
        <v>-86.707243333333281</v>
      </c>
      <c r="I68" s="57">
        <f t="shared" si="63"/>
        <v>646.69770000000017</v>
      </c>
      <c r="J68" s="57">
        <f t="shared" ref="J68:S68" si="64">J63</f>
        <v>-254.89299999999912</v>
      </c>
      <c r="K68" s="57">
        <f t="shared" si="64"/>
        <v>-628.27900000000045</v>
      </c>
      <c r="L68" s="57">
        <f t="shared" si="64"/>
        <v>1984.6189999999997</v>
      </c>
      <c r="M68" s="57">
        <f t="shared" si="64"/>
        <v>416.46400000000017</v>
      </c>
      <c r="N68" s="57">
        <f t="shared" si="64"/>
        <v>-351.21700000000033</v>
      </c>
      <c r="O68" s="57">
        <f t="shared" si="64"/>
        <v>72.371999999999844</v>
      </c>
      <c r="P68" s="57">
        <f t="shared" si="64"/>
        <v>-3136.9229999999998</v>
      </c>
      <c r="Q68" s="57">
        <f t="shared" si="64"/>
        <v>851.3720000000003</v>
      </c>
      <c r="R68" s="57">
        <f t="shared" si="64"/>
        <v>237.72699999999986</v>
      </c>
      <c r="S68" s="57">
        <f t="shared" si="64"/>
        <v>-1799.0830000000005</v>
      </c>
      <c r="T68" s="57"/>
    </row>
    <row r="69" spans="1:28" ht="14.3" thickBot="1" x14ac:dyDescent="0.3">
      <c r="A69" s="49" t="s">
        <v>312</v>
      </c>
      <c r="B69" s="59">
        <f t="shared" ref="B69:I69" si="65">B66-B67-B68</f>
        <v>5773.1470761284399</v>
      </c>
      <c r="C69" s="59">
        <f t="shared" si="65"/>
        <v>5628.652250321662</v>
      </c>
      <c r="D69" s="59">
        <f t="shared" si="65"/>
        <v>5319.9126759634992</v>
      </c>
      <c r="E69" s="59">
        <f t="shared" si="65"/>
        <v>5077.5803382339764</v>
      </c>
      <c r="F69" s="59">
        <f t="shared" si="65"/>
        <v>4556.5031794848746</v>
      </c>
      <c r="G69" s="59">
        <f t="shared" si="65"/>
        <v>4215.0243304465002</v>
      </c>
      <c r="H69" s="59">
        <f t="shared" si="65"/>
        <v>3984.8094035954437</v>
      </c>
      <c r="I69" s="59">
        <f t="shared" si="65"/>
        <v>3388.8935641226471</v>
      </c>
      <c r="J69" s="59">
        <f>J66-J67-J68</f>
        <v>3309.7056548590017</v>
      </c>
      <c r="K69" s="52">
        <f t="shared" ref="K69:R69" si="66">K66-K67-K68</f>
        <v>3648.3236362546959</v>
      </c>
      <c r="L69" s="52">
        <f t="shared" si="66"/>
        <v>-935.06119060528658</v>
      </c>
      <c r="M69" s="52">
        <f t="shared" si="66"/>
        <v>974.04658307609293</v>
      </c>
      <c r="N69" s="52">
        <f t="shared" si="66"/>
        <v>2047.2353302379461</v>
      </c>
      <c r="O69" s="52">
        <f t="shared" si="66"/>
        <v>1795.1565660719757</v>
      </c>
      <c r="P69" s="52">
        <f t="shared" si="66"/>
        <v>3813.5150975693991</v>
      </c>
      <c r="Q69" s="52">
        <f t="shared" si="66"/>
        <v>177.96204723784808</v>
      </c>
      <c r="R69" s="52">
        <f t="shared" si="66"/>
        <v>539.67643345680426</v>
      </c>
      <c r="S69" s="52">
        <f>S66-S67-S68</f>
        <v>2485.4525847122968</v>
      </c>
      <c r="T69" s="52"/>
    </row>
    <row r="70" spans="1:28" ht="13.6" thickTop="1" x14ac:dyDescent="0.2"/>
    <row r="72" spans="1:28" ht="13.6" x14ac:dyDescent="0.25">
      <c r="B72" s="111" t="s">
        <v>482</v>
      </c>
      <c r="C72" s="112"/>
      <c r="D72" s="112"/>
      <c r="E72" s="112"/>
      <c r="F72" s="112"/>
      <c r="G72" s="112"/>
      <c r="H72" s="112"/>
      <c r="I72" s="112"/>
      <c r="J72" s="112"/>
      <c r="K72" s="112"/>
      <c r="L72" s="112"/>
      <c r="M72" s="112"/>
      <c r="N72" s="112"/>
      <c r="O72" s="112"/>
      <c r="P72" s="112"/>
      <c r="Q72" s="112"/>
      <c r="R72" s="112"/>
      <c r="S72" s="112"/>
      <c r="T72" s="112"/>
    </row>
    <row r="73" spans="1:28" x14ac:dyDescent="0.2">
      <c r="B73" s="112"/>
      <c r="C73" s="112"/>
      <c r="D73" s="112"/>
      <c r="E73" s="112"/>
      <c r="F73" s="112" t="s">
        <v>348</v>
      </c>
      <c r="G73" s="115"/>
      <c r="H73" s="115"/>
      <c r="I73" s="115"/>
      <c r="J73" s="115"/>
      <c r="K73" s="115"/>
      <c r="L73" s="115"/>
      <c r="M73" s="115"/>
      <c r="N73" s="112"/>
      <c r="O73" s="112"/>
      <c r="P73" s="112"/>
      <c r="Q73" s="112"/>
      <c r="R73" s="112"/>
      <c r="S73" s="112"/>
      <c r="T73" s="112"/>
    </row>
    <row r="74" spans="1:28" ht="13.6" x14ac:dyDescent="0.25">
      <c r="B74" s="113"/>
      <c r="C74" s="114">
        <f ca="1">B20</f>
        <v>202.07142856229521</v>
      </c>
      <c r="D74" s="117">
        <v>0.05</v>
      </c>
      <c r="E74" s="115">
        <f>D74+0.5%</f>
        <v>5.5E-2</v>
      </c>
      <c r="F74" s="115">
        <f t="shared" ref="F74:I74" si="67">E74+0.5%</f>
        <v>0.06</v>
      </c>
      <c r="G74" s="115">
        <f t="shared" si="67"/>
        <v>6.5000000000000002E-2</v>
      </c>
      <c r="H74" s="115">
        <f t="shared" si="67"/>
        <v>7.0000000000000007E-2</v>
      </c>
      <c r="I74" s="115">
        <f t="shared" si="67"/>
        <v>7.5000000000000011E-2</v>
      </c>
      <c r="J74" s="116">
        <f>WACC</f>
        <v>7.9625350628261815E-2</v>
      </c>
      <c r="K74" s="115">
        <f>I74+0.5%</f>
        <v>8.0000000000000016E-2</v>
      </c>
      <c r="L74" s="115">
        <f>K74+0.5%</f>
        <v>8.500000000000002E-2</v>
      </c>
      <c r="M74" s="115">
        <f>L74+0.005</f>
        <v>9.0000000000000024E-2</v>
      </c>
      <c r="N74" s="115">
        <f>M74+0.005</f>
        <v>9.5000000000000029E-2</v>
      </c>
      <c r="O74" s="115">
        <f t="shared" ref="O74:T74" si="68">N74+0.005</f>
        <v>0.10000000000000003</v>
      </c>
      <c r="P74" s="115">
        <f t="shared" si="68"/>
        <v>0.10500000000000004</v>
      </c>
      <c r="Q74" s="115">
        <f t="shared" si="68"/>
        <v>0.11000000000000004</v>
      </c>
      <c r="R74" s="115">
        <f t="shared" si="68"/>
        <v>0.11500000000000005</v>
      </c>
      <c r="S74" s="115">
        <f t="shared" si="68"/>
        <v>0.12000000000000005</v>
      </c>
      <c r="T74" s="115">
        <f t="shared" si="68"/>
        <v>0.12500000000000006</v>
      </c>
    </row>
    <row r="75" spans="1:28" x14ac:dyDescent="0.2">
      <c r="B75" s="113"/>
      <c r="C75" s="115">
        <v>0</v>
      </c>
      <c r="D75" s="95">
        <f t="dataTable" ref="D75:T94" dt2D="1" dtr="1" r1="E2" r2="E3"/>
        <v>235.96126128281352</v>
      </c>
      <c r="E75" s="95">
        <v>214.98992459382518</v>
      </c>
      <c r="F75" s="95">
        <v>197.54006726516579</v>
      </c>
      <c r="G75" s="95">
        <v>182.79826166326521</v>
      </c>
      <c r="H75" s="95">
        <v>170.18351563285557</v>
      </c>
      <c r="I75" s="95">
        <v>159.26979288028713</v>
      </c>
      <c r="J75" s="95">
        <v>150.40975506896248</v>
      </c>
      <c r="K75" s="95">
        <v>149.73758826455432</v>
      </c>
      <c r="L75" s="95">
        <v>141.34259420790454</v>
      </c>
      <c r="M75" s="95">
        <v>133.89481167720484</v>
      </c>
      <c r="N75" s="95">
        <v>127.24425773425074</v>
      </c>
      <c r="O75" s="95">
        <v>121.27096085403541</v>
      </c>
      <c r="P75" s="95">
        <v>115.8778147533356</v>
      </c>
      <c r="Q75" s="95">
        <v>110.98538120210843</v>
      </c>
      <c r="R75" s="95">
        <v>106.52804864767417</v>
      </c>
      <c r="S75" s="95">
        <v>102.45115120506902</v>
      </c>
      <c r="T75" s="95">
        <v>98.708779109940522</v>
      </c>
      <c r="U75" s="95"/>
      <c r="V75" s="95"/>
      <c r="W75" s="95"/>
      <c r="X75" s="95"/>
      <c r="Y75" s="95"/>
      <c r="Z75" s="95"/>
      <c r="AA75" s="95"/>
      <c r="AB75" s="95"/>
    </row>
    <row r="76" spans="1:28" x14ac:dyDescent="0.2">
      <c r="B76" s="113"/>
      <c r="C76" s="115">
        <f>C75+0.25%</f>
        <v>2.5000000000000001E-3</v>
      </c>
      <c r="D76" s="95">
        <v>244.66418102316626</v>
      </c>
      <c r="E76" s="95">
        <v>221.91404283399285</v>
      </c>
      <c r="F76" s="95">
        <v>203.14658930739256</v>
      </c>
      <c r="G76" s="95">
        <v>187.40520698140827</v>
      </c>
      <c r="H76" s="95">
        <v>174.01675049451455</v>
      </c>
      <c r="I76" s="95">
        <v>162.49379386765057</v>
      </c>
      <c r="J76" s="95">
        <v>153.17984367608639</v>
      </c>
      <c r="K76" s="95">
        <v>152.47472004964646</v>
      </c>
      <c r="L76" s="95">
        <v>143.68559612693772</v>
      </c>
      <c r="M76" s="95">
        <v>135.91511992961028</v>
      </c>
      <c r="N76" s="95">
        <v>128.99769209804032</v>
      </c>
      <c r="O76" s="95">
        <v>122.8016967763354</v>
      </c>
      <c r="P76" s="95">
        <v>117.22121237549041</v>
      </c>
      <c r="Q76" s="95">
        <v>112.17003563793517</v>
      </c>
      <c r="R76" s="95">
        <v>107.57729930841749</v>
      </c>
      <c r="S76" s="95">
        <v>103.38420871880183</v>
      </c>
      <c r="T76" s="95">
        <v>99.541577596038451</v>
      </c>
      <c r="U76" s="95"/>
      <c r="V76" s="95"/>
      <c r="W76" s="95"/>
      <c r="X76" s="95"/>
      <c r="Y76" s="95"/>
      <c r="Z76" s="95"/>
      <c r="AA76" s="95"/>
      <c r="AB76" s="95"/>
    </row>
    <row r="77" spans="1:28" x14ac:dyDescent="0.2">
      <c r="B77" s="112"/>
      <c r="C77" s="115">
        <f t="shared" ref="C77:C94" si="69">C76+0.25%</f>
        <v>5.0000000000000001E-3</v>
      </c>
      <c r="D77" s="95">
        <v>254.33409184578034</v>
      </c>
      <c r="E77" s="95">
        <v>229.53057289817727</v>
      </c>
      <c r="F77" s="95">
        <v>209.26279517163997</v>
      </c>
      <c r="G77" s="95">
        <v>192.39606440939662</v>
      </c>
      <c r="H77" s="95">
        <v>178.14484957630123</v>
      </c>
      <c r="I77" s="95">
        <v>165.94808063982566</v>
      </c>
      <c r="J77" s="95">
        <v>156.1355319878551</v>
      </c>
      <c r="K77" s="95">
        <v>155.39432728707808</v>
      </c>
      <c r="L77" s="95">
        <v>146.17503566591051</v>
      </c>
      <c r="M77" s="95">
        <v>138.05426984392201</v>
      </c>
      <c r="N77" s="95">
        <v>130.84853948204042</v>
      </c>
      <c r="O77" s="95">
        <v>124.41299774717751</v>
      </c>
      <c r="P77" s="95">
        <v>118.63177987875299</v>
      </c>
      <c r="Q77" s="95">
        <v>113.41110218975366</v>
      </c>
      <c r="R77" s="95">
        <v>108.6742431810128</v>
      </c>
      <c r="S77" s="95">
        <v>104.35783395052303</v>
      </c>
      <c r="T77" s="95">
        <v>100.40907601905714</v>
      </c>
      <c r="U77" s="95"/>
      <c r="V77" s="95"/>
      <c r="W77" s="95"/>
      <c r="X77" s="95"/>
      <c r="Y77" s="95"/>
      <c r="Z77" s="95"/>
      <c r="AA77" s="95"/>
      <c r="AB77" s="95"/>
    </row>
    <row r="78" spans="1:28" x14ac:dyDescent="0.2">
      <c r="B78" s="113"/>
      <c r="C78" s="115">
        <f t="shared" si="69"/>
        <v>7.4999999999999997E-3</v>
      </c>
      <c r="D78" s="95">
        <v>265.14163923576086</v>
      </c>
      <c r="E78" s="95">
        <v>237.94884296911798</v>
      </c>
      <c r="F78" s="95">
        <v>215.96149683248237</v>
      </c>
      <c r="G78" s="95">
        <v>197.82090943981873</v>
      </c>
      <c r="H78" s="95">
        <v>182.60319658463078</v>
      </c>
      <c r="I78" s="95">
        <v>169.65824050623604</v>
      </c>
      <c r="J78" s="95">
        <v>159.29611970642205</v>
      </c>
      <c r="K78" s="95">
        <v>158.51528674778086</v>
      </c>
      <c r="L78" s="95">
        <v>148.82508420739765</v>
      </c>
      <c r="M78" s="95">
        <v>140.32306520758596</v>
      </c>
      <c r="N78" s="95">
        <v>132.80514957369775</v>
      </c>
      <c r="O78" s="95">
        <v>126.11139606779484</v>
      </c>
      <c r="P78" s="95">
        <v>120.11468417705464</v>
      </c>
      <c r="Q78" s="95">
        <v>114.71270857336819</v>
      </c>
      <c r="R78" s="95">
        <v>109.82220769884508</v>
      </c>
      <c r="S78" s="95">
        <v>105.37473141476515</v>
      </c>
      <c r="T78" s="95">
        <v>101.31348926858725</v>
      </c>
      <c r="U78" s="95"/>
      <c r="V78" s="95"/>
      <c r="W78" s="95"/>
      <c r="X78" s="95"/>
      <c r="Y78" s="95"/>
      <c r="Z78" s="95"/>
      <c r="AA78" s="95"/>
      <c r="AB78" s="95"/>
    </row>
    <row r="79" spans="1:28" x14ac:dyDescent="0.2">
      <c r="B79" s="113"/>
      <c r="C79" s="115">
        <f t="shared" si="69"/>
        <v>0.01</v>
      </c>
      <c r="D79" s="95">
        <v>277.30013004948893</v>
      </c>
      <c r="E79" s="95">
        <v>247.30247638127429</v>
      </c>
      <c r="F79" s="95">
        <v>223.33006865940902</v>
      </c>
      <c r="G79" s="95">
        <v>203.73892220027923</v>
      </c>
      <c r="H79" s="95">
        <v>187.4330725103211</v>
      </c>
      <c r="I79" s="95">
        <v>173.6537972854471</v>
      </c>
      <c r="J79" s="95">
        <v>162.68367847002119</v>
      </c>
      <c r="K79" s="95">
        <v>161.85917188424807</v>
      </c>
      <c r="L79" s="95">
        <v>151.6518026516506</v>
      </c>
      <c r="M79" s="95">
        <v>142.73366028147885</v>
      </c>
      <c r="N79" s="95">
        <v>134.87685437662896</v>
      </c>
      <c r="O79" s="95">
        <v>127.90414985066869</v>
      </c>
      <c r="P79" s="95">
        <v>121.67563607000376</v>
      </c>
      <c r="Q79" s="95">
        <v>116.07939527616342</v>
      </c>
      <c r="R79" s="95">
        <v>111.02483719371699</v>
      </c>
      <c r="S79" s="95">
        <v>106.43785149101828</v>
      </c>
      <c r="T79" s="95">
        <v>102.2572248333143</v>
      </c>
      <c r="U79" s="95"/>
      <c r="V79" s="95"/>
      <c r="W79" s="95"/>
      <c r="X79" s="95"/>
      <c r="Y79" s="95"/>
      <c r="Z79" s="95"/>
      <c r="AA79" s="95"/>
      <c r="AB79" s="95"/>
    </row>
    <row r="80" spans="1:28" x14ac:dyDescent="0.2">
      <c r="B80" s="113"/>
      <c r="C80" s="115">
        <f t="shared" si="69"/>
        <v>1.2500000000000001E-2</v>
      </c>
      <c r="D80" s="95">
        <v>291.07975297171407</v>
      </c>
      <c r="E80" s="95">
        <v>257.75653725368431</v>
      </c>
      <c r="F80" s="95">
        <v>231.47427962601216</v>
      </c>
      <c r="G80" s="95">
        <v>210.2205552236407</v>
      </c>
      <c r="H80" s="95">
        <v>192.68293764694107</v>
      </c>
      <c r="I80" s="95">
        <v>177.96899860699509</v>
      </c>
      <c r="J80" s="95">
        <v>166.32356803948528</v>
      </c>
      <c r="K80" s="95">
        <v>165.45075221600922</v>
      </c>
      <c r="L80" s="95">
        <v>154.67346719550716</v>
      </c>
      <c r="M80" s="95">
        <v>145.29977761820359</v>
      </c>
      <c r="N80" s="95">
        <v>137.0741170464045</v>
      </c>
      <c r="O80" s="95">
        <v>129.79934670684966</v>
      </c>
      <c r="P80" s="95">
        <v>123.32096374095016</v>
      </c>
      <c r="Q80" s="95">
        <v>117.51616847653791</v>
      </c>
      <c r="R80" s="95">
        <v>112.28613154199731</v>
      </c>
      <c r="S80" s="95">
        <v>107.55041901267853</v>
      </c>
      <c r="T80" s="95">
        <v>103.24290420091813</v>
      </c>
      <c r="U80" s="95"/>
      <c r="V80" s="95"/>
      <c r="W80" s="95"/>
      <c r="X80" s="95"/>
      <c r="Y80" s="95"/>
      <c r="Z80" s="95"/>
      <c r="AA80" s="95"/>
      <c r="AB80" s="95"/>
    </row>
    <row r="81" spans="2:28" x14ac:dyDescent="0.2">
      <c r="B81" s="112"/>
      <c r="C81" s="115">
        <f t="shared" si="69"/>
        <v>1.5000000000000001E-2</v>
      </c>
      <c r="D81" s="95">
        <v>306.82789345425709</v>
      </c>
      <c r="E81" s="95">
        <v>269.5173557351456</v>
      </c>
      <c r="F81" s="95">
        <v>240.52340292223786</v>
      </c>
      <c r="G81" s="95">
        <v>217.35035154933837</v>
      </c>
      <c r="H81" s="95">
        <v>198.41006325052652</v>
      </c>
      <c r="I81" s="95">
        <v>182.64380003867211</v>
      </c>
      <c r="J81" s="95">
        <v>170.24507229529763</v>
      </c>
      <c r="K81" s="95">
        <v>169.31860795790578</v>
      </c>
      <c r="L81" s="95">
        <v>157.91096492106783</v>
      </c>
      <c r="M81" s="95">
        <v>148.03696944404328</v>
      </c>
      <c r="N81" s="95">
        <v>139.40870863304104</v>
      </c>
      <c r="O81" s="95">
        <v>131.80602573104122</v>
      </c>
      <c r="P81" s="95">
        <v>125.05769850472687</v>
      </c>
      <c r="Q81" s="95">
        <v>119.02856131903737</v>
      </c>
      <c r="R81" s="95">
        <v>113.61049060769162</v>
      </c>
      <c r="S81" s="95">
        <v>108.71596594013214</v>
      </c>
      <c r="T81" s="95">
        <v>104.27338717614029</v>
      </c>
      <c r="U81" s="95"/>
      <c r="V81" s="95"/>
      <c r="W81" s="95"/>
      <c r="X81" s="95"/>
      <c r="Y81" s="95"/>
      <c r="Z81" s="95"/>
      <c r="AA81" s="95"/>
      <c r="AB81" s="95"/>
    </row>
    <row r="82" spans="2:28" x14ac:dyDescent="0.2">
      <c r="B82" s="112"/>
      <c r="C82" s="115">
        <f t="shared" si="69"/>
        <v>1.7500000000000002E-2</v>
      </c>
      <c r="D82" s="95">
        <v>324.99882478026831</v>
      </c>
      <c r="E82" s="95">
        <v>282.84628334746839</v>
      </c>
      <c r="F82" s="95">
        <v>250.63712895919599</v>
      </c>
      <c r="G82" s="95">
        <v>225.23065275142525</v>
      </c>
      <c r="H82" s="95">
        <v>204.68262938778676</v>
      </c>
      <c r="I82" s="95">
        <v>187.72510594266885</v>
      </c>
      <c r="J82" s="95">
        <v>174.48218879443374</v>
      </c>
      <c r="K82" s="95">
        <v>173.49589215915412</v>
      </c>
      <c r="L82" s="95">
        <v>161.38827729296634</v>
      </c>
      <c r="M82" s="95">
        <v>150.96293311994089</v>
      </c>
      <c r="N82" s="95">
        <v>141.89391903171867</v>
      </c>
      <c r="O82" s="95">
        <v>133.93432166578989</v>
      </c>
      <c r="P82" s="95">
        <v>126.89367525500515</v>
      </c>
      <c r="Q82" s="95">
        <v>120.62270512599626</v>
      </c>
      <c r="R82" s="95">
        <v>115.00276552290873</v>
      </c>
      <c r="S82" s="95">
        <v>109.93836881526641</v>
      </c>
      <c r="T82" s="95">
        <v>105.35179959207053</v>
      </c>
      <c r="U82" s="95"/>
      <c r="V82" s="95"/>
      <c r="W82" s="95"/>
      <c r="X82" s="95"/>
      <c r="Y82" s="95"/>
      <c r="Z82" s="95"/>
      <c r="AA82" s="95"/>
      <c r="AB82" s="95"/>
    </row>
    <row r="83" spans="2:28" x14ac:dyDescent="0.2">
      <c r="B83" s="112" t="s">
        <v>471</v>
      </c>
      <c r="C83" s="115">
        <f t="shared" si="69"/>
        <v>0.02</v>
      </c>
      <c r="D83" s="95">
        <v>346.19824466061471</v>
      </c>
      <c r="E83" s="95">
        <v>298.07934347583722</v>
      </c>
      <c r="F83" s="95">
        <v>262.01507075077387</v>
      </c>
      <c r="G83" s="95">
        <v>233.98654297596622</v>
      </c>
      <c r="H83" s="95">
        <v>211.58245213877299</v>
      </c>
      <c r="I83" s="95">
        <v>193.26834874702894</v>
      </c>
      <c r="J83" s="95">
        <v>179.07461695668709</v>
      </c>
      <c r="K83" s="95">
        <v>178.02128337717312</v>
      </c>
      <c r="L83" s="95">
        <v>165.13307523193393</v>
      </c>
      <c r="M83" s="95">
        <v>154.09789420125978</v>
      </c>
      <c r="N83" s="95">
        <v>144.54481012364141</v>
      </c>
      <c r="O83" s="95">
        <v>136.1956360964603</v>
      </c>
      <c r="P83" s="95">
        <v>128.8376506376527</v>
      </c>
      <c r="Q83" s="95">
        <v>122.30541247778619</v>
      </c>
      <c r="R83" s="95">
        <v>116.4683180652425</v>
      </c>
      <c r="S83" s="95">
        <v>111.22189183415739</v>
      </c>
      <c r="T83" s="95">
        <v>106.48156498018785</v>
      </c>
      <c r="U83" s="95"/>
      <c r="V83" s="95"/>
      <c r="W83" s="95"/>
      <c r="X83" s="95"/>
      <c r="Y83" s="95"/>
      <c r="Z83" s="95"/>
      <c r="AA83" s="95"/>
      <c r="AB83" s="95"/>
    </row>
    <row r="84" spans="2:28" x14ac:dyDescent="0.2">
      <c r="B84" s="112"/>
      <c r="C84" s="115">
        <f t="shared" si="69"/>
        <v>2.2499999999999999E-2</v>
      </c>
      <c r="D84" s="95">
        <v>371.25210451920583</v>
      </c>
      <c r="E84" s="95">
        <v>315.65595131626287</v>
      </c>
      <c r="F84" s="95">
        <v>274.91007144789546</v>
      </c>
      <c r="G84" s="95">
        <v>243.7725379328061</v>
      </c>
      <c r="H84" s="95">
        <v>219.20857202144197</v>
      </c>
      <c r="I84" s="95">
        <v>199.3395194375185</v>
      </c>
      <c r="J84" s="95">
        <v>184.06900572940026</v>
      </c>
      <c r="K84" s="95">
        <v>182.94018687501986</v>
      </c>
      <c r="L84" s="95">
        <v>169.1774570060189</v>
      </c>
      <c r="M84" s="95">
        <v>157.46507462193557</v>
      </c>
      <c r="N84" s="95">
        <v>147.37852129086917</v>
      </c>
      <c r="O84" s="95">
        <v>138.6028417807224</v>
      </c>
      <c r="P84" s="95">
        <v>130.89944271015767</v>
      </c>
      <c r="Q84" s="95">
        <v>124.08427453539269</v>
      </c>
      <c r="R84" s="95">
        <v>118.01308966391866</v>
      </c>
      <c r="S84" s="95">
        <v>112.57123654632481</v>
      </c>
      <c r="T84" s="95">
        <v>107.66644087504262</v>
      </c>
      <c r="U84" s="95"/>
      <c r="V84" s="95"/>
      <c r="W84" s="95"/>
      <c r="X84" s="95"/>
      <c r="Y84" s="95"/>
      <c r="Z84" s="95"/>
      <c r="AA84" s="95"/>
      <c r="AB84" s="95"/>
    </row>
    <row r="85" spans="2:28" x14ac:dyDescent="0.2">
      <c r="B85" s="112"/>
      <c r="C85" s="115">
        <f t="shared" si="69"/>
        <v>2.4999999999999998E-2</v>
      </c>
      <c r="D85" s="95">
        <v>401.31673634951517</v>
      </c>
      <c r="E85" s="95">
        <v>336.16199379675942</v>
      </c>
      <c r="F85" s="95">
        <v>289.64721510174866</v>
      </c>
      <c r="G85" s="95">
        <v>254.78178225925092</v>
      </c>
      <c r="H85" s="95">
        <v>227.68203855774081</v>
      </c>
      <c r="I85" s="95">
        <v>206.01780719705707</v>
      </c>
      <c r="J85" s="95">
        <v>189.52054385816075</v>
      </c>
      <c r="K85" s="95">
        <v>188.30626341812541</v>
      </c>
      <c r="L85" s="95">
        <v>173.55887059461097</v>
      </c>
      <c r="M85" s="95">
        <v>161.09126892112494</v>
      </c>
      <c r="N85" s="95">
        <v>150.41464039861322</v>
      </c>
      <c r="O85" s="95">
        <v>141.17052784393528</v>
      </c>
      <c r="P85" s="95">
        <v>133.09009678719423</v>
      </c>
      <c r="Q85" s="95">
        <v>125.96777553756429</v>
      </c>
      <c r="R85" s="95">
        <v>119.64368190696572</v>
      </c>
      <c r="S85" s="95">
        <v>113.99159940123791</v>
      </c>
      <c r="T85" s="95">
        <v>108.91056056464012</v>
      </c>
      <c r="U85" s="95"/>
      <c r="V85" s="95"/>
      <c r="W85" s="95"/>
      <c r="X85" s="95"/>
      <c r="Y85" s="95"/>
      <c r="Z85" s="95"/>
      <c r="AA85" s="95"/>
      <c r="AB85" s="95"/>
    </row>
    <row r="86" spans="2:28" x14ac:dyDescent="0.2">
      <c r="B86" s="112"/>
      <c r="C86" s="115">
        <f t="shared" si="69"/>
        <v>2.7499999999999997E-2</v>
      </c>
      <c r="D86" s="95">
        <v>438.06239747544896</v>
      </c>
      <c r="E86" s="95">
        <v>360.39640763734633</v>
      </c>
      <c r="F86" s="95">
        <v>306.65161162542563</v>
      </c>
      <c r="G86" s="95">
        <v>267.25892582922182</v>
      </c>
      <c r="H86" s="95">
        <v>237.15238351007488</v>
      </c>
      <c r="I86" s="95">
        <v>213.39907261549448</v>
      </c>
      <c r="J86" s="95">
        <v>195.4950077862735</v>
      </c>
      <c r="K86" s="95">
        <v>194.18339487009817</v>
      </c>
      <c r="L86" s="95">
        <v>178.32127666916759</v>
      </c>
      <c r="M86" s="95">
        <v>165.00755876424944</v>
      </c>
      <c r="N86" s="95">
        <v>153.67565721804203</v>
      </c>
      <c r="O86" s="95">
        <v>143.91529570461117</v>
      </c>
      <c r="P86" s="95">
        <v>135.42208338532993</v>
      </c>
      <c r="Q86" s="95">
        <v>127.9654281156251</v>
      </c>
      <c r="R86" s="95">
        <v>121.36745084961549</v>
      </c>
      <c r="S86" s="95">
        <v>115.48873862668685</v>
      </c>
      <c r="T86" s="95">
        <v>110.21848126396061</v>
      </c>
      <c r="U86" s="95"/>
      <c r="V86" s="95"/>
      <c r="W86" s="95"/>
      <c r="X86" s="95"/>
      <c r="Y86" s="95"/>
      <c r="Z86" s="95"/>
      <c r="AA86" s="95"/>
      <c r="AB86" s="95"/>
    </row>
    <row r="87" spans="2:28" ht="13.6" x14ac:dyDescent="0.25">
      <c r="B87" s="112"/>
      <c r="C87" s="116">
        <f t="shared" si="69"/>
        <v>2.9999999999999995E-2</v>
      </c>
      <c r="D87" s="95">
        <v>483.99447388286592</v>
      </c>
      <c r="E87" s="95">
        <v>389.47770424605045</v>
      </c>
      <c r="F87" s="95">
        <v>326.49007423638193</v>
      </c>
      <c r="G87" s="95">
        <v>281.5185184806171</v>
      </c>
      <c r="H87" s="95">
        <v>247.80652158145065</v>
      </c>
      <c r="I87" s="95">
        <v>221.60047863598041</v>
      </c>
      <c r="J87" s="103">
        <v>202.07142856229521</v>
      </c>
      <c r="K87" s="95">
        <v>200.64823946726821</v>
      </c>
      <c r="L87" s="95">
        <v>183.51662875050204</v>
      </c>
      <c r="M87" s="95">
        <v>169.25020609430095</v>
      </c>
      <c r="N87" s="95">
        <v>157.18752148511919</v>
      </c>
      <c r="O87" s="95">
        <v>146.85611841247817</v>
      </c>
      <c r="P87" s="95">
        <v>137.90953575667464</v>
      </c>
      <c r="Q87" s="95">
        <v>130.08793397981469</v>
      </c>
      <c r="R87" s="95">
        <v>123.19261796536227</v>
      </c>
      <c r="S87" s="95">
        <v>117.06905225354961</v>
      </c>
      <c r="T87" s="95">
        <v>111.59523989482425</v>
      </c>
      <c r="U87" s="95"/>
      <c r="V87" s="95"/>
      <c r="W87" s="95"/>
      <c r="X87" s="95"/>
      <c r="Y87" s="95"/>
      <c r="Z87" s="95"/>
      <c r="AA87" s="95"/>
      <c r="AB87" s="95"/>
    </row>
    <row r="88" spans="2:28" x14ac:dyDescent="0.2">
      <c r="B88" s="112"/>
      <c r="C88" s="115">
        <f t="shared" si="69"/>
        <v>3.2499999999999994E-2</v>
      </c>
      <c r="D88" s="95">
        <v>543.05000069240225</v>
      </c>
      <c r="E88" s="95">
        <v>425.02151121224455</v>
      </c>
      <c r="F88" s="95">
        <v>349.93553004933028</v>
      </c>
      <c r="G88" s="95">
        <v>297.97189461684241</v>
      </c>
      <c r="H88" s="95">
        <v>259.88121139567659</v>
      </c>
      <c r="I88" s="95">
        <v>230.76675595299412</v>
      </c>
      <c r="J88" s="95">
        <v>209.3456076242868</v>
      </c>
      <c r="K88" s="95">
        <v>207.79359402203505</v>
      </c>
      <c r="L88" s="95">
        <v>189.2067762681541</v>
      </c>
      <c r="M88" s="95">
        <v>173.8617792791396</v>
      </c>
      <c r="N88" s="95">
        <v>160.98033489356254</v>
      </c>
      <c r="O88" s="95">
        <v>150.01477983944636</v>
      </c>
      <c r="P88" s="95">
        <v>140.56853656742251</v>
      </c>
      <c r="Q88" s="95">
        <v>132.34737570621004</v>
      </c>
      <c r="R88" s="95">
        <v>125.1284012699422</v>
      </c>
      <c r="S88" s="95">
        <v>118.73966951623314</v>
      </c>
      <c r="T88" s="95">
        <v>113.04641791113998</v>
      </c>
      <c r="U88" s="95"/>
      <c r="V88" s="95"/>
      <c r="W88" s="95"/>
      <c r="X88" s="95"/>
      <c r="Y88" s="95"/>
      <c r="Z88" s="95"/>
      <c r="AA88" s="95"/>
      <c r="AB88" s="95"/>
    </row>
    <row r="89" spans="2:28" x14ac:dyDescent="0.2">
      <c r="B89" s="112"/>
      <c r="C89" s="115">
        <f t="shared" si="69"/>
        <v>3.4999999999999996E-2</v>
      </c>
      <c r="D89" s="95">
        <v>621.79070310511725</v>
      </c>
      <c r="E89" s="95">
        <v>469.45126991998711</v>
      </c>
      <c r="F89" s="95">
        <v>378.0700770248684</v>
      </c>
      <c r="G89" s="95">
        <v>317.16750010910528</v>
      </c>
      <c r="H89" s="95">
        <v>273.68085689764905</v>
      </c>
      <c r="I89" s="95">
        <v>241.07881793463457</v>
      </c>
      <c r="J89" s="95">
        <v>217.43481435100057</v>
      </c>
      <c r="K89" s="95">
        <v>215.7328768606649</v>
      </c>
      <c r="L89" s="95">
        <v>195.46593853757133</v>
      </c>
      <c r="M89" s="95">
        <v>178.89258638987263</v>
      </c>
      <c r="N89" s="95">
        <v>165.08921608604282</v>
      </c>
      <c r="O89" s="95">
        <v>153.41641522233525</v>
      </c>
      <c r="P89" s="95">
        <v>143.4174660075094</v>
      </c>
      <c r="Q89" s="95">
        <v>134.75744688103177</v>
      </c>
      <c r="R89" s="95">
        <v>127.18517103105839</v>
      </c>
      <c r="S89" s="95">
        <v>120.50855838260387</v>
      </c>
      <c r="T89" s="95">
        <v>114.57821692836215</v>
      </c>
      <c r="U89" s="95"/>
      <c r="V89" s="95"/>
      <c r="W89" s="95"/>
      <c r="X89" s="95"/>
      <c r="Y89" s="95"/>
      <c r="Z89" s="95"/>
      <c r="AA89" s="95"/>
      <c r="AB89" s="95"/>
    </row>
    <row r="90" spans="2:28" x14ac:dyDescent="0.2">
      <c r="B90" s="112"/>
      <c r="C90" s="115">
        <f t="shared" si="69"/>
        <v>3.7499999999999999E-2</v>
      </c>
      <c r="D90" s="95">
        <v>732.0276864829184</v>
      </c>
      <c r="E90" s="95">
        <v>526.57524540137058</v>
      </c>
      <c r="F90" s="95">
        <v>412.45674555052625</v>
      </c>
      <c r="G90" s="95">
        <v>339.85321569087057</v>
      </c>
      <c r="H90" s="95">
        <v>289.6035247845403</v>
      </c>
      <c r="I90" s="95">
        <v>252.76582151382704</v>
      </c>
      <c r="J90" s="95">
        <v>226.48415631766727</v>
      </c>
      <c r="K90" s="95">
        <v>224.60619297442767</v>
      </c>
      <c r="L90" s="95">
        <v>202.38395999324308</v>
      </c>
      <c r="M90" s="95">
        <v>184.40251798734218</v>
      </c>
      <c r="N90" s="95">
        <v>169.55539129526053</v>
      </c>
      <c r="O90" s="95">
        <v>157.09018143585521</v>
      </c>
      <c r="P90" s="95">
        <v>146.4774272579732</v>
      </c>
      <c r="Q90" s="95">
        <v>137.33372986101361</v>
      </c>
      <c r="R90" s="95">
        <v>129.37463561547239</v>
      </c>
      <c r="S90" s="95">
        <v>122.3846526348153</v>
      </c>
      <c r="T90" s="95">
        <v>116.19754731799701</v>
      </c>
      <c r="U90" s="95"/>
      <c r="V90" s="95"/>
      <c r="W90" s="95"/>
      <c r="X90" s="95"/>
      <c r="Y90" s="95"/>
      <c r="Z90" s="95"/>
      <c r="AA90" s="95"/>
      <c r="AB90" s="95"/>
    </row>
    <row r="91" spans="2:28" x14ac:dyDescent="0.2">
      <c r="B91" s="112"/>
      <c r="C91" s="115">
        <f t="shared" si="69"/>
        <v>0.04</v>
      </c>
      <c r="D91" s="95">
        <v>897.38316154962013</v>
      </c>
      <c r="E91" s="95">
        <v>602.74054604321498</v>
      </c>
      <c r="F91" s="95">
        <v>455.44008120759827</v>
      </c>
      <c r="G91" s="95">
        <v>367.07607438898879</v>
      </c>
      <c r="H91" s="95">
        <v>308.17997065258021</v>
      </c>
      <c r="I91" s="95">
        <v>266.12239703290425</v>
      </c>
      <c r="J91" s="95">
        <v>236.67536098374097</v>
      </c>
      <c r="K91" s="95">
        <v>234.58867360241081</v>
      </c>
      <c r="L91" s="95">
        <v>210.070650499545</v>
      </c>
      <c r="M91" s="95">
        <v>190.46344274455868</v>
      </c>
      <c r="N91" s="95">
        <v>174.42758243258896</v>
      </c>
      <c r="O91" s="95">
        <v>161.07009483383524</v>
      </c>
      <c r="P91" s="95">
        <v>149.77277014308802</v>
      </c>
      <c r="Q91" s="95">
        <v>140.09403305385132</v>
      </c>
      <c r="R91" s="95">
        <v>131.71006450551397</v>
      </c>
      <c r="S91" s="95">
        <v>124.37800277778993</v>
      </c>
      <c r="T91" s="95">
        <v>117.91213243643391</v>
      </c>
      <c r="U91" s="95"/>
      <c r="V91" s="95"/>
      <c r="W91" s="95"/>
      <c r="X91" s="95"/>
      <c r="Y91" s="95"/>
      <c r="Z91" s="95"/>
      <c r="AA91" s="95"/>
      <c r="AB91" s="95"/>
    </row>
    <row r="92" spans="2:28" x14ac:dyDescent="0.2">
      <c r="B92" s="112"/>
      <c r="C92" s="115">
        <f t="shared" si="69"/>
        <v>4.2500000000000003E-2</v>
      </c>
      <c r="D92" s="95">
        <v>1172.9756199941232</v>
      </c>
      <c r="E92" s="95">
        <v>709.37196694179738</v>
      </c>
      <c r="F92" s="95">
        <v>510.70436990954818</v>
      </c>
      <c r="G92" s="95">
        <v>400.34845724224454</v>
      </c>
      <c r="H92" s="95">
        <v>330.13395213299106</v>
      </c>
      <c r="I92" s="95">
        <v>281.53383032414712</v>
      </c>
      <c r="J92" s="95">
        <v>248.23910550379725</v>
      </c>
      <c r="K92" s="95">
        <v>245.90215164745828</v>
      </c>
      <c r="L92" s="95">
        <v>218.66165753599998</v>
      </c>
      <c r="M92" s="95">
        <v>197.16235958148212</v>
      </c>
      <c r="N92" s="95">
        <v>179.76379177347243</v>
      </c>
      <c r="O92" s="95">
        <v>165.39608765772647</v>
      </c>
      <c r="P92" s="95">
        <v>153.331740459012</v>
      </c>
      <c r="Q92" s="95">
        <v>143.05880314986214</v>
      </c>
      <c r="R92" s="95">
        <v>134.20655745693776</v>
      </c>
      <c r="S92" s="95">
        <v>126.49995615579516</v>
      </c>
      <c r="T92" s="95">
        <v>119.73063180447306</v>
      </c>
      <c r="U92" s="95"/>
      <c r="V92" s="95"/>
      <c r="W92" s="95"/>
      <c r="X92" s="95"/>
      <c r="Y92" s="95"/>
      <c r="Z92" s="95"/>
      <c r="AA92" s="95"/>
      <c r="AB92" s="95"/>
    </row>
    <row r="93" spans="2:28" x14ac:dyDescent="0.2">
      <c r="B93" s="112"/>
      <c r="C93" s="115">
        <f t="shared" si="69"/>
        <v>4.5000000000000005E-2</v>
      </c>
      <c r="D93" s="95">
        <v>1724.1605368831299</v>
      </c>
      <c r="E93" s="95">
        <v>869.31909828967082</v>
      </c>
      <c r="F93" s="95">
        <v>584.39008817881461</v>
      </c>
      <c r="G93" s="95">
        <v>441.93893580881411</v>
      </c>
      <c r="H93" s="95">
        <v>356.47872990948389</v>
      </c>
      <c r="I93" s="95">
        <v>299.51383583059703</v>
      </c>
      <c r="J93" s="95">
        <v>261.47268791866719</v>
      </c>
      <c r="K93" s="95">
        <v>258.83184084179828</v>
      </c>
      <c r="L93" s="95">
        <v>228.32654045201193</v>
      </c>
      <c r="M93" s="95">
        <v>204.60560051139711</v>
      </c>
      <c r="N93" s="95">
        <v>185.63362204844427</v>
      </c>
      <c r="O93" s="95">
        <v>170.11535255651697</v>
      </c>
      <c r="P93" s="95">
        <v>157.18729163459633</v>
      </c>
      <c r="Q93" s="95">
        <v>146.25163248402771</v>
      </c>
      <c r="R93" s="95">
        <v>136.88137133346319</v>
      </c>
      <c r="S93" s="95">
        <v>128.76337309233409</v>
      </c>
      <c r="T93" s="95">
        <v>121.66278738301466</v>
      </c>
      <c r="U93" s="95"/>
      <c r="V93" s="95"/>
      <c r="W93" s="95"/>
      <c r="X93" s="95"/>
      <c r="Y93" s="95"/>
      <c r="Z93" s="95"/>
      <c r="AA93" s="95"/>
      <c r="AB93" s="95"/>
    </row>
    <row r="94" spans="2:28" x14ac:dyDescent="0.2">
      <c r="B94" s="112"/>
      <c r="C94" s="115">
        <f t="shared" si="69"/>
        <v>4.7500000000000007E-2</v>
      </c>
      <c r="D94" s="95">
        <v>3377.7152875501533</v>
      </c>
      <c r="E94" s="95">
        <v>1135.8976505361268</v>
      </c>
      <c r="F94" s="95">
        <v>687.55009375578766</v>
      </c>
      <c r="G94" s="95">
        <v>495.41240825154648</v>
      </c>
      <c r="H94" s="95">
        <v>388.67790274741981</v>
      </c>
      <c r="I94" s="95">
        <v>320.76293324731074</v>
      </c>
      <c r="J94" s="95">
        <v>276.76594939634367</v>
      </c>
      <c r="K94" s="95">
        <v>273.75071298911382</v>
      </c>
      <c r="L94" s="95">
        <v>239.28007442349218</v>
      </c>
      <c r="M94" s="95">
        <v>212.92451684483154</v>
      </c>
      <c r="N94" s="95">
        <v>192.12132919446574</v>
      </c>
      <c r="O94" s="95">
        <v>175.28407125519232</v>
      </c>
      <c r="P94" s="95">
        <v>161.37810812979669</v>
      </c>
      <c r="Q94" s="95">
        <v>149.69988816492645</v>
      </c>
      <c r="R94" s="95">
        <v>139.75431957121282</v>
      </c>
      <c r="S94" s="95">
        <v>131.18288774863433</v>
      </c>
      <c r="T94" s="95">
        <v>123.71959816017184</v>
      </c>
      <c r="U94" s="95"/>
      <c r="V94" s="95"/>
      <c r="W94" s="95"/>
      <c r="X94" s="95"/>
      <c r="Y94" s="95"/>
      <c r="Z94" s="95"/>
      <c r="AA94" s="95"/>
      <c r="AB94" s="95"/>
    </row>
    <row r="95" spans="2:28" x14ac:dyDescent="0.2">
      <c r="C95" s="60"/>
    </row>
    <row r="96" spans="2:28" x14ac:dyDescent="0.2">
      <c r="C96" s="60"/>
    </row>
    <row r="98" spans="2:23" ht="13.6" x14ac:dyDescent="0.25">
      <c r="B98" s="111" t="s">
        <v>480</v>
      </c>
      <c r="C98" s="112"/>
      <c r="D98" s="112"/>
    </row>
    <row r="99" spans="2:23" ht="13.6" x14ac:dyDescent="0.25">
      <c r="B99" s="114"/>
      <c r="C99" s="112" t="s">
        <v>485</v>
      </c>
      <c r="D99" s="118">
        <f ca="1">F24</f>
        <v>396.624048689929</v>
      </c>
      <c r="E99" s="60"/>
      <c r="F99" s="115"/>
      <c r="G99" s="115" t="s">
        <v>484</v>
      </c>
      <c r="H99" s="118">
        <f ca="1">J23</f>
        <v>311.97635810890011</v>
      </c>
      <c r="J99" s="111" t="s">
        <v>481</v>
      </c>
      <c r="K99" s="112"/>
      <c r="L99" s="112"/>
      <c r="M99" s="112"/>
      <c r="N99" s="112"/>
      <c r="O99" s="112"/>
      <c r="P99" s="112" t="s">
        <v>479</v>
      </c>
      <c r="Q99" s="112"/>
      <c r="R99" s="112"/>
      <c r="S99" s="112"/>
      <c r="T99" s="112"/>
      <c r="U99" s="112"/>
      <c r="V99" s="112"/>
      <c r="W99" s="112"/>
    </row>
    <row r="100" spans="2:23" x14ac:dyDescent="0.2">
      <c r="B100" s="113"/>
      <c r="C100" s="119">
        <f t="shared" ref="C100:C106" si="70">C101-2.5</f>
        <v>0</v>
      </c>
      <c r="D100" s="50">
        <f t="shared" ref="D100:D117" ca="1" si="71">C100*$F$15/$F$23</f>
        <v>0</v>
      </c>
      <c r="F100" s="112"/>
      <c r="G100" s="112">
        <f t="shared" ref="G100:G110" si="72">G101-2.5</f>
        <v>2.5</v>
      </c>
      <c r="H100" s="50">
        <f t="shared" ref="H100:H122" ca="1" si="73">G100*$J$14/$J$22</f>
        <v>34.153515336421442</v>
      </c>
      <c r="J100" s="121"/>
      <c r="K100" s="119">
        <f>T15</f>
        <v>105.32100466802564</v>
      </c>
      <c r="L100" s="122">
        <v>0.03</v>
      </c>
      <c r="M100" s="122">
        <f>L100+2%</f>
        <v>0.05</v>
      </c>
      <c r="N100" s="122">
        <f t="shared" ref="N100:W100" si="74">M100+2%</f>
        <v>7.0000000000000007E-2</v>
      </c>
      <c r="O100" s="122">
        <f t="shared" si="74"/>
        <v>9.0000000000000011E-2</v>
      </c>
      <c r="P100" s="122">
        <f t="shared" si="74"/>
        <v>0.11000000000000001</v>
      </c>
      <c r="Q100" s="122">
        <f t="shared" si="74"/>
        <v>0.13</v>
      </c>
      <c r="R100" s="122">
        <f t="shared" si="74"/>
        <v>0.15</v>
      </c>
      <c r="S100" s="122">
        <f t="shared" si="74"/>
        <v>0.16999999999999998</v>
      </c>
      <c r="T100" s="122">
        <f t="shared" si="74"/>
        <v>0.18999999999999997</v>
      </c>
      <c r="U100" s="122">
        <f t="shared" si="74"/>
        <v>0.20999999999999996</v>
      </c>
      <c r="V100" s="122">
        <f t="shared" si="74"/>
        <v>0.22999999999999995</v>
      </c>
      <c r="W100" s="122">
        <f t="shared" si="74"/>
        <v>0.24999999999999994</v>
      </c>
    </row>
    <row r="101" spans="2:23" x14ac:dyDescent="0.2">
      <c r="B101" s="113"/>
      <c r="C101" s="119">
        <f t="shared" si="70"/>
        <v>2.5</v>
      </c>
      <c r="D101" s="50">
        <f t="shared" ca="1" si="71"/>
        <v>52.091820745104926</v>
      </c>
      <c r="F101" s="112" t="s">
        <v>365</v>
      </c>
      <c r="G101" s="112">
        <f t="shared" si="72"/>
        <v>5</v>
      </c>
      <c r="H101" s="50">
        <f t="shared" ca="1" si="73"/>
        <v>68.307030672842885</v>
      </c>
      <c r="J101" s="121"/>
      <c r="K101" s="123">
        <v>0</v>
      </c>
      <c r="L101" s="95">
        <f t="dataTable" ref="L101:W121" dt2D="1" dtr="1" r1="L15" r2="E3" ca="1"/>
        <v>52.540223148810938</v>
      </c>
      <c r="M101" s="95">
        <v>57.15360999727833</v>
      </c>
      <c r="N101" s="95">
        <v>62.106321585166683</v>
      </c>
      <c r="O101" s="95">
        <v>67.417397846803638</v>
      </c>
      <c r="P101" s="95">
        <v>73.106587976168711</v>
      </c>
      <c r="Q101" s="95">
        <v>79.194363489666557</v>
      </c>
      <c r="R101" s="95">
        <v>85.701931288900653</v>
      </c>
      <c r="S101" s="95">
        <v>92.651246723446036</v>
      </c>
      <c r="T101" s="95">
        <v>100.06502665362311</v>
      </c>
      <c r="U101" s="95">
        <v>107.96676251327078</v>
      </c>
      <c r="V101" s="95">
        <v>116.38073337251979</v>
      </c>
      <c r="W101" s="95">
        <v>125.33201900056605</v>
      </c>
    </row>
    <row r="102" spans="2:23" x14ac:dyDescent="0.2">
      <c r="B102" s="113" t="s">
        <v>473</v>
      </c>
      <c r="C102" s="119">
        <f t="shared" si="70"/>
        <v>5</v>
      </c>
      <c r="D102" s="50">
        <f t="shared" ca="1" si="71"/>
        <v>104.18364149020985</v>
      </c>
      <c r="F102" s="112"/>
      <c r="G102" s="112">
        <f t="shared" si="72"/>
        <v>7.5</v>
      </c>
      <c r="H102" s="50">
        <f t="shared" ca="1" si="73"/>
        <v>102.46054600926432</v>
      </c>
      <c r="J102" s="112"/>
      <c r="K102" s="115">
        <f>K101+0.0025</f>
        <v>2.5000000000000001E-3</v>
      </c>
      <c r="L102" s="95">
        <v>53.730980938229557</v>
      </c>
      <c r="M102" s="95">
        <v>58.464552979381928</v>
      </c>
      <c r="N102" s="95">
        <v>63.546963997015695</v>
      </c>
      <c r="O102" s="95">
        <v>68.997807949901599</v>
      </c>
      <c r="P102" s="95">
        <v>74.837409158398842</v>
      </c>
      <c r="Q102" s="95">
        <v>81.086835761657198</v>
      </c>
      <c r="R102" s="95">
        <v>87.767913174819142</v>
      </c>
      <c r="S102" s="95">
        <v>94.903237546221675</v>
      </c>
      <c r="T102" s="95">
        <v>102.5161892145985</v>
      </c>
      <c r="U102" s="95">
        <v>110.63094616628209</v>
      </c>
      <c r="V102" s="95">
        <v>119.27249749240572</v>
      </c>
      <c r="W102" s="95">
        <v>128.46665684610551</v>
      </c>
    </row>
    <row r="103" spans="2:23" x14ac:dyDescent="0.2">
      <c r="B103" s="113"/>
      <c r="C103" s="119">
        <f t="shared" si="70"/>
        <v>7.5</v>
      </c>
      <c r="D103" s="50">
        <f t="shared" ca="1" si="71"/>
        <v>156.27546223531479</v>
      </c>
      <c r="F103" s="112"/>
      <c r="G103" s="112">
        <f t="shared" si="72"/>
        <v>10</v>
      </c>
      <c r="H103" s="50">
        <f t="shared" ca="1" si="73"/>
        <v>136.61406134568577</v>
      </c>
      <c r="J103" s="112"/>
      <c r="K103" s="115">
        <f t="shared" ref="K103:K121" si="75">K102+0.0025</f>
        <v>5.0000000000000001E-3</v>
      </c>
      <c r="L103" s="95">
        <v>55.001069867259496</v>
      </c>
      <c r="M103" s="95">
        <v>59.862834126862154</v>
      </c>
      <c r="N103" s="95">
        <v>65.083585461296678</v>
      </c>
      <c r="O103" s="95">
        <v>70.683508764213997</v>
      </c>
      <c r="P103" s="95">
        <v>76.683541798651689</v>
      </c>
      <c r="Q103" s="95">
        <v>83.105389074942678</v>
      </c>
      <c r="R103" s="95">
        <v>89.971535728623863</v>
      </c>
      <c r="S103" s="95">
        <v>97.305261398344328</v>
      </c>
      <c r="T103" s="95">
        <v>105.13065410377423</v>
      </c>
      <c r="U103" s="95">
        <v>113.47262412351327</v>
      </c>
      <c r="V103" s="95">
        <v>122.35691787299913</v>
      </c>
      <c r="W103" s="95">
        <v>131.81013178241622</v>
      </c>
    </row>
    <row r="104" spans="2:23" x14ac:dyDescent="0.2">
      <c r="B104" s="113"/>
      <c r="C104" s="119">
        <f t="shared" si="70"/>
        <v>10</v>
      </c>
      <c r="D104" s="50">
        <f t="shared" ca="1" si="71"/>
        <v>208.3672829804197</v>
      </c>
      <c r="F104" s="112"/>
      <c r="G104" s="112">
        <f t="shared" si="72"/>
        <v>12.5</v>
      </c>
      <c r="H104" s="50">
        <f t="shared" ca="1" si="73"/>
        <v>170.7675766821072</v>
      </c>
      <c r="J104" s="112"/>
      <c r="K104" s="115">
        <f t="shared" si="75"/>
        <v>7.4999999999999997E-3</v>
      </c>
      <c r="L104" s="95">
        <v>56.358739234405434</v>
      </c>
      <c r="M104" s="95">
        <v>61.357535353839644</v>
      </c>
      <c r="N104" s="95">
        <v>66.726166420211612</v>
      </c>
      <c r="O104" s="95">
        <v>72.485449010644516</v>
      </c>
      <c r="P104" s="95">
        <v>78.656976631497514</v>
      </c>
      <c r="Q104" s="95">
        <v>85.263134045991094</v>
      </c>
      <c r="R104" s="95">
        <v>92.327111601832655</v>
      </c>
      <c r="S104" s="95">
        <v>99.87291955884146</v>
      </c>
      <c r="T104" s="95">
        <v>107.92540241657433</v>
      </c>
      <c r="U104" s="95">
        <v>116.51025324195091</v>
      </c>
      <c r="V104" s="95">
        <v>125.65402799687897</v>
      </c>
      <c r="W104" s="95">
        <v>135.38415986587989</v>
      </c>
    </row>
    <row r="105" spans="2:23" x14ac:dyDescent="0.2">
      <c r="B105" s="113"/>
      <c r="C105" s="119">
        <f t="shared" si="70"/>
        <v>12.5</v>
      </c>
      <c r="D105" s="50">
        <f t="shared" ca="1" si="71"/>
        <v>260.45910372552464</v>
      </c>
      <c r="F105" s="112"/>
      <c r="G105" s="112">
        <f t="shared" si="72"/>
        <v>15</v>
      </c>
      <c r="H105" s="50">
        <f t="shared" ca="1" si="73"/>
        <v>204.92109201852864</v>
      </c>
      <c r="J105" s="112"/>
      <c r="K105" s="115">
        <f t="shared" si="75"/>
        <v>0.01</v>
      </c>
      <c r="L105" s="95">
        <v>57.81342315066199</v>
      </c>
      <c r="M105" s="95">
        <v>62.959042972048579</v>
      </c>
      <c r="N105" s="95">
        <v>68.486120765433256</v>
      </c>
      <c r="O105" s="95">
        <v>74.41614992941696</v>
      </c>
      <c r="P105" s="95">
        <v>80.771426570922799</v>
      </c>
      <c r="Q105" s="95">
        <v>87.575064314673526</v>
      </c>
      <c r="R105" s="95">
        <v>94.85100911266936</v>
      </c>
      <c r="S105" s="95">
        <v>102.62405405366476</v>
      </c>
      <c r="T105" s="95">
        <v>110.91985417264645</v>
      </c>
      <c r="U105" s="95">
        <v>119.76494126031054</v>
      </c>
      <c r="V105" s="95">
        <v>129.18673867254017</v>
      </c>
      <c r="W105" s="95">
        <v>139.2135761398828</v>
      </c>
    </row>
    <row r="106" spans="2:23" x14ac:dyDescent="0.2">
      <c r="B106" s="113"/>
      <c r="C106" s="119">
        <f t="shared" si="70"/>
        <v>15</v>
      </c>
      <c r="D106" s="50">
        <f t="shared" ca="1" si="71"/>
        <v>312.55092447062958</v>
      </c>
      <c r="F106" s="112"/>
      <c r="G106" s="112">
        <f t="shared" si="72"/>
        <v>17.5</v>
      </c>
      <c r="H106" s="50">
        <f t="shared" ca="1" si="73"/>
        <v>239.0746073549501</v>
      </c>
      <c r="J106" s="112"/>
      <c r="K106" s="115">
        <f t="shared" si="75"/>
        <v>1.2500000000000001E-2</v>
      </c>
      <c r="L106" s="95">
        <v>59.375961173834419</v>
      </c>
      <c r="M106" s="95">
        <v>64.67929059415151</v>
      </c>
      <c r="N106" s="95">
        <v>70.376562773297849</v>
      </c>
      <c r="O106" s="95">
        <v>76.489998112683622</v>
      </c>
      <c r="P106" s="95">
        <v>83.042647412457086</v>
      </c>
      <c r="Q106" s="95">
        <v>90.05840719855982</v>
      </c>
      <c r="R106" s="95">
        <v>97.562035049782295</v>
      </c>
      <c r="S106" s="95">
        <v>105.57916492481878</v>
      </c>
      <c r="T106" s="95">
        <v>114.13632248932295</v>
      </c>
      <c r="U106" s="95">
        <v>123.26094044296308</v>
      </c>
      <c r="V106" s="95">
        <v>132.98137384647731</v>
      </c>
      <c r="W106" s="95">
        <v>143.32691544872924</v>
      </c>
    </row>
    <row r="107" spans="2:23" x14ac:dyDescent="0.2">
      <c r="B107" s="112"/>
      <c r="C107" s="119">
        <f>C109-2.5</f>
        <v>17.5</v>
      </c>
      <c r="D107" s="50">
        <f t="shared" ca="1" si="71"/>
        <v>364.64274521573446</v>
      </c>
      <c r="F107" s="112"/>
      <c r="G107" s="112">
        <f>G109-2.5</f>
        <v>20</v>
      </c>
      <c r="H107" s="50">
        <f t="shared" ca="1" si="73"/>
        <v>273.22812269137154</v>
      </c>
      <c r="J107" s="112" t="s">
        <v>352</v>
      </c>
      <c r="K107" s="115">
        <f t="shared" si="75"/>
        <v>1.5000000000000001E-2</v>
      </c>
      <c r="L107" s="95">
        <v>61.058870153641962</v>
      </c>
      <c r="M107" s="95">
        <v>66.532058416627834</v>
      </c>
      <c r="N107" s="95">
        <v>72.412635997539397</v>
      </c>
      <c r="O107" s="95">
        <v>78.723606305648474</v>
      </c>
      <c r="P107" s="95">
        <v>85.488832972526708</v>
      </c>
      <c r="Q107" s="95">
        <v>92.733055736550767</v>
      </c>
      <c r="R107" s="95">
        <v>100.48190632740759</v>
      </c>
      <c r="S107" s="95">
        <v>108.76192435059902</v>
      </c>
      <c r="T107" s="95">
        <v>117.60057317194719</v>
      </c>
      <c r="U107" s="95">
        <v>127.02625580209948</v>
      </c>
      <c r="V107" s="95">
        <v>137.06833078103364</v>
      </c>
      <c r="W107" s="95">
        <v>147.75712806256283</v>
      </c>
    </row>
    <row r="108" spans="2:23" ht="13.6" x14ac:dyDescent="0.25">
      <c r="B108" s="112"/>
      <c r="C108" s="120">
        <f>F10</f>
        <v>18.178195157648474</v>
      </c>
      <c r="D108" s="50">
        <f t="shared" ca="1" si="71"/>
        <v>378.77411344870347</v>
      </c>
      <c r="F108" s="112"/>
      <c r="G108" s="120">
        <f>J10</f>
        <v>21.529732735448246</v>
      </c>
      <c r="H108" s="50">
        <f t="shared" ca="1" si="73"/>
        <v>294.12642286767459</v>
      </c>
      <c r="J108" s="112"/>
      <c r="K108" s="115">
        <f t="shared" si="75"/>
        <v>1.7500000000000002E-2</v>
      </c>
      <c r="L108" s="95">
        <v>62.876681713095778</v>
      </c>
      <c r="M108" s="95">
        <v>68.533344763716343</v>
      </c>
      <c r="N108" s="95">
        <v>74.61192157229695</v>
      </c>
      <c r="O108" s="95">
        <v>81.136261322158362</v>
      </c>
      <c r="P108" s="95">
        <v>88.131105633150355</v>
      </c>
      <c r="Q108" s="95">
        <v>95.622105048292013</v>
      </c>
      <c r="R108" s="95">
        <v>103.63583552041204</v>
      </c>
      <c r="S108" s="95">
        <v>112.19981489878863</v>
      </c>
      <c r="T108" s="95">
        <v>121.34251941578987</v>
      </c>
      <c r="U108" s="95">
        <v>131.09340017351391</v>
      </c>
      <c r="V108" s="95">
        <v>141.4828996304291</v>
      </c>
      <c r="W108" s="95">
        <v>152.54246808801423</v>
      </c>
    </row>
    <row r="109" spans="2:23" x14ac:dyDescent="0.2">
      <c r="B109" s="112"/>
      <c r="C109" s="119">
        <v>20</v>
      </c>
      <c r="D109" s="50">
        <f t="shared" ca="1" si="71"/>
        <v>416.7345659608394</v>
      </c>
      <c r="F109" s="112"/>
      <c r="G109" s="112">
        <f t="shared" si="72"/>
        <v>22.5</v>
      </c>
      <c r="H109" s="50">
        <f t="shared" ca="1" si="73"/>
        <v>307.38163802779303</v>
      </c>
      <c r="J109" s="112"/>
      <c r="K109" s="115">
        <f t="shared" si="75"/>
        <v>0.02</v>
      </c>
      <c r="L109" s="95">
        <v>64.846364630352866</v>
      </c>
      <c r="M109" s="95">
        <v>70.701831100982503</v>
      </c>
      <c r="N109" s="95">
        <v>76.994949232254996</v>
      </c>
      <c r="O109" s="95">
        <v>83.750484642798909</v>
      </c>
      <c r="P109" s="95">
        <v>90.994130293379499</v>
      </c>
      <c r="Q109" s="95">
        <v>98.752523625979933</v>
      </c>
      <c r="R109" s="95">
        <v>107.05326370288323</v>
      </c>
      <c r="S109" s="95">
        <v>115.92492834575303</v>
      </c>
      <c r="T109" s="95">
        <v>125.39709127471558</v>
      </c>
      <c r="U109" s="95">
        <v>135.50033924744099</v>
      </c>
      <c r="V109" s="95">
        <v>146.26628919822465</v>
      </c>
      <c r="W109" s="95">
        <v>157.72760537706876</v>
      </c>
    </row>
    <row r="110" spans="2:23" x14ac:dyDescent="0.2">
      <c r="B110" s="112"/>
      <c r="C110" s="119">
        <f>C109+2.5</f>
        <v>22.5</v>
      </c>
      <c r="D110" s="50">
        <f t="shared" ca="1" si="71"/>
        <v>468.82638670594434</v>
      </c>
      <c r="F110" s="112"/>
      <c r="G110" s="112">
        <f t="shared" si="72"/>
        <v>25</v>
      </c>
      <c r="H110" s="50">
        <f t="shared" ca="1" si="73"/>
        <v>341.53515336421441</v>
      </c>
      <c r="J110" s="112"/>
      <c r="K110" s="115">
        <f t="shared" si="75"/>
        <v>2.2499999999999999E-2</v>
      </c>
      <c r="L110" s="95">
        <v>66.987858129785536</v>
      </c>
      <c r="M110" s="95">
        <v>73.059469152355206</v>
      </c>
      <c r="N110" s="95">
        <v>79.585842516680202</v>
      </c>
      <c r="O110" s="95">
        <v>86.59274021508827</v>
      </c>
      <c r="P110" s="95">
        <v>94.106889532381388</v>
      </c>
      <c r="Q110" s="95">
        <v>102.1560008942691</v>
      </c>
      <c r="R110" s="95">
        <v>110.76878571580266</v>
      </c>
      <c r="S110" s="95">
        <v>119.9749742498077</v>
      </c>
      <c r="T110" s="95">
        <v>129.80533343531854</v>
      </c>
      <c r="U110" s="95">
        <v>140.29168474601138</v>
      </c>
      <c r="V110" s="95">
        <v>151.46692203863796</v>
      </c>
      <c r="W110" s="95">
        <v>163.36502940145908</v>
      </c>
    </row>
    <row r="111" spans="2:23" x14ac:dyDescent="0.2">
      <c r="B111" s="112"/>
      <c r="C111" s="119">
        <f t="shared" ref="C111:C113" si="76">C110+2.5</f>
        <v>25</v>
      </c>
      <c r="D111" s="50">
        <f t="shared" ca="1" si="71"/>
        <v>520.91820745104928</v>
      </c>
      <c r="F111" s="112"/>
      <c r="G111" s="112">
        <f>G112-2.5</f>
        <v>27.5</v>
      </c>
      <c r="H111" s="50">
        <f t="shared" ca="1" si="73"/>
        <v>375.68866870063584</v>
      </c>
      <c r="J111" s="112"/>
      <c r="K111" s="115">
        <f t="shared" si="75"/>
        <v>2.4999999999999998E-2</v>
      </c>
      <c r="L111" s="95">
        <v>69.324751613594401</v>
      </c>
      <c r="M111" s="95">
        <v>75.632229238198207</v>
      </c>
      <c r="N111" s="95">
        <v>82.41314114505397</v>
      </c>
      <c r="O111" s="95">
        <v>89.694336614032281</v>
      </c>
      <c r="P111" s="95">
        <v>97.503671630583582</v>
      </c>
      <c r="Q111" s="95">
        <v>105.87002750824837</v>
      </c>
      <c r="R111" s="95">
        <v>114.8233295111679</v>
      </c>
      <c r="S111" s="95">
        <v>124.39456547659381</v>
      </c>
      <c r="T111" s="95">
        <v>134.61580443739894</v>
      </c>
      <c r="U111" s="95">
        <v>145.52021524458743</v>
      </c>
      <c r="V111" s="95">
        <v>157.14208518980507</v>
      </c>
      <c r="W111" s="95">
        <v>169.51683862784955</v>
      </c>
    </row>
    <row r="112" spans="2:23" x14ac:dyDescent="0.2">
      <c r="B112" s="112"/>
      <c r="C112" s="119">
        <f t="shared" si="76"/>
        <v>27.5</v>
      </c>
      <c r="D112" s="50">
        <f t="shared" ca="1" si="71"/>
        <v>573.01002819615417</v>
      </c>
      <c r="F112" s="112"/>
      <c r="G112" s="112">
        <v>30</v>
      </c>
      <c r="H112" s="50">
        <f t="shared" ca="1" si="73"/>
        <v>409.84218403705728</v>
      </c>
      <c r="J112" s="112"/>
      <c r="K112" s="115">
        <f t="shared" si="75"/>
        <v>2.7499999999999997E-2</v>
      </c>
      <c r="L112" s="95">
        <v>71.885159998325008</v>
      </c>
      <c r="M112" s="95">
        <v>78.45106396101842</v>
      </c>
      <c r="N112" s="95">
        <v>85.510860045971427</v>
      </c>
      <c r="O112" s="95">
        <v>93.09258881548179</v>
      </c>
      <c r="P112" s="95">
        <v>101.2253429115375</v>
      </c>
      <c r="Q112" s="95">
        <v>109.93928652644117</v>
      </c>
      <c r="R112" s="95">
        <v>119.26567487343506</v>
      </c>
      <c r="S112" s="95">
        <v>129.23687365732496</v>
      </c>
      <c r="T112" s="95">
        <v>139.88637854510503</v>
      </c>
      <c r="U112" s="95">
        <v>151.24883463658227</v>
      </c>
      <c r="V112" s="95">
        <v>163.36005593500096</v>
      </c>
      <c r="W112" s="95">
        <v>176.25704481766735</v>
      </c>
    </row>
    <row r="113" spans="2:23" x14ac:dyDescent="0.2">
      <c r="B113" s="112"/>
      <c r="C113" s="119">
        <f t="shared" si="76"/>
        <v>30</v>
      </c>
      <c r="D113" s="50">
        <f t="shared" ca="1" si="71"/>
        <v>625.10184894125916</v>
      </c>
      <c r="F113" s="112"/>
      <c r="G113" s="112">
        <f t="shared" ref="G113:G121" si="77">G112+2.5</f>
        <v>32.5</v>
      </c>
      <c r="H113" s="50">
        <f t="shared" ca="1" si="73"/>
        <v>443.99569937347877</v>
      </c>
      <c r="J113" s="112"/>
      <c r="K113" s="115">
        <f t="shared" si="75"/>
        <v>2.9999999999999995E-2</v>
      </c>
      <c r="L113" s="95">
        <v>74.702863634860307</v>
      </c>
      <c r="M113" s="95">
        <v>81.553163179506214</v>
      </c>
      <c r="N113" s="95">
        <v>88.919868493269419</v>
      </c>
      <c r="O113" s="95">
        <v>96.832331132758995</v>
      </c>
      <c r="P113" s="95">
        <v>105.32100466802564</v>
      </c>
      <c r="Q113" s="95">
        <v>114.41746508652747</v>
      </c>
      <c r="R113" s="95">
        <v>124.15443119709587</v>
      </c>
      <c r="S113" s="95">
        <v>134.56578503390065</v>
      </c>
      <c r="T113" s="95">
        <v>145.68659226041618</v>
      </c>
      <c r="U113" s="95">
        <v>157.55312257338679</v>
      </c>
      <c r="V113" s="95">
        <v>170.20287010679252</v>
      </c>
      <c r="W113" s="95">
        <v>183.67457383581475</v>
      </c>
    </row>
    <row r="114" spans="2:23" x14ac:dyDescent="0.2">
      <c r="B114" s="112"/>
      <c r="C114" s="119">
        <f>C113+2.5</f>
        <v>32.5</v>
      </c>
      <c r="D114" s="50">
        <f t="shared" ca="1" si="71"/>
        <v>677.19366968636405</v>
      </c>
      <c r="F114" s="112"/>
      <c r="G114" s="112">
        <f t="shared" si="77"/>
        <v>35</v>
      </c>
      <c r="H114" s="50">
        <f t="shared" ca="1" si="73"/>
        <v>478.14921470990021</v>
      </c>
      <c r="J114" s="112"/>
      <c r="K114" s="115">
        <f t="shared" si="75"/>
        <v>3.2499999999999994E-2</v>
      </c>
      <c r="L114" s="95">
        <v>77.81881106496833</v>
      </c>
      <c r="M114" s="95">
        <v>84.98360844083706</v>
      </c>
      <c r="N114" s="95">
        <v>92.689708221210466</v>
      </c>
      <c r="O114" s="95">
        <v>100.96791172104068</v>
      </c>
      <c r="P114" s="95">
        <v>109.85017748778085</v>
      </c>
      <c r="Q114" s="95">
        <v>119.36964273748282</v>
      </c>
      <c r="R114" s="95">
        <v>129.56064479089531</v>
      </c>
      <c r="S114" s="95">
        <v>140.45874250956049</v>
      </c>
      <c r="T114" s="95">
        <v>152.1007377319124</v>
      </c>
      <c r="U114" s="95">
        <v>164.52469670937427</v>
      </c>
      <c r="V114" s="95">
        <v>177.76997154245612</v>
      </c>
      <c r="W114" s="95">
        <v>191.87722161685252</v>
      </c>
    </row>
    <row r="115" spans="2:23" x14ac:dyDescent="0.2">
      <c r="B115" s="112"/>
      <c r="C115" s="119">
        <f>C114+2.5</f>
        <v>35</v>
      </c>
      <c r="D115" s="50">
        <f t="shared" ca="1" si="71"/>
        <v>729.28549043146893</v>
      </c>
      <c r="F115" s="112"/>
      <c r="G115" s="112">
        <f t="shared" si="77"/>
        <v>37.5</v>
      </c>
      <c r="H115" s="50">
        <f t="shared" ca="1" si="73"/>
        <v>512.3027300463217</v>
      </c>
      <c r="J115" s="112"/>
      <c r="K115" s="115">
        <f t="shared" si="75"/>
        <v>3.4999999999999996E-2</v>
      </c>
      <c r="L115" s="95">
        <v>81.283126902132352</v>
      </c>
      <c r="M115" s="95">
        <v>88.797583520301316</v>
      </c>
      <c r="N115" s="95">
        <v>96.881022666019177</v>
      </c>
      <c r="O115" s="95">
        <v>105.56585749811548</v>
      </c>
      <c r="P115" s="95">
        <v>114.88571980056842</v>
      </c>
      <c r="Q115" s="95">
        <v>124.87548256612835</v>
      </c>
      <c r="R115" s="95">
        <v>135.57128257994219</v>
      </c>
      <c r="S115" s="95">
        <v>147.01054300317625</v>
      </c>
      <c r="T115" s="95">
        <v>159.23199595664045</v>
      </c>
      <c r="U115" s="95">
        <v>172.27570510441225</v>
      </c>
      <c r="V115" s="95">
        <v>186.18308823745988</v>
      </c>
      <c r="W115" s="95">
        <v>200.99693985726651</v>
      </c>
    </row>
    <row r="116" spans="2:23" x14ac:dyDescent="0.2">
      <c r="B116" s="112"/>
      <c r="C116" s="119">
        <f>C115+2.5</f>
        <v>37.5</v>
      </c>
      <c r="D116" s="50">
        <f t="shared" ca="1" si="71"/>
        <v>781.37731117657381</v>
      </c>
      <c r="F116" s="112"/>
      <c r="G116" s="112">
        <f t="shared" si="77"/>
        <v>40</v>
      </c>
      <c r="H116" s="50">
        <f t="shared" ca="1" si="73"/>
        <v>546.45624538274308</v>
      </c>
      <c r="J116" s="112"/>
      <c r="K116" s="115">
        <f t="shared" si="75"/>
        <v>3.7499999999999999E-2</v>
      </c>
      <c r="L116" s="95">
        <v>85.157834678832288</v>
      </c>
      <c r="M116" s="95">
        <v>93.06337209015571</v>
      </c>
      <c r="N116" s="95">
        <v>101.56885121204158</v>
      </c>
      <c r="O116" s="95">
        <v>110.70848799044984</v>
      </c>
      <c r="P116" s="95">
        <v>120.51778566187051</v>
      </c>
      <c r="Q116" s="95">
        <v>131.03355862041252</v>
      </c>
      <c r="R116" s="95">
        <v>142.2939562848928</v>
      </c>
      <c r="S116" s="95">
        <v>154.33848696592452</v>
      </c>
      <c r="T116" s="95">
        <v>167.20804173300627</v>
      </c>
      <c r="U116" s="95">
        <v>180.94491828161085</v>
      </c>
      <c r="V116" s="95">
        <v>195.59284480027407</v>
      </c>
      <c r="W116" s="95">
        <v>211.19700383768341</v>
      </c>
    </row>
    <row r="117" spans="2:23" x14ac:dyDescent="0.2">
      <c r="B117" s="112"/>
      <c r="C117" s="119">
        <f>C116+2.5</f>
        <v>40</v>
      </c>
      <c r="D117" s="50">
        <f t="shared" ca="1" si="71"/>
        <v>833.46913192167881</v>
      </c>
      <c r="F117" s="112"/>
      <c r="G117" s="112">
        <f t="shared" si="77"/>
        <v>42.5</v>
      </c>
      <c r="H117" s="50">
        <f t="shared" ca="1" si="73"/>
        <v>580.60976071916446</v>
      </c>
      <c r="J117" s="112"/>
      <c r="K117" s="115">
        <f t="shared" si="75"/>
        <v>0.04</v>
      </c>
      <c r="L117" s="95">
        <v>89.520610415537789</v>
      </c>
      <c r="M117" s="95">
        <v>97.866490142667814</v>
      </c>
      <c r="N117" s="95">
        <v>106.84717046011679</v>
      </c>
      <c r="O117" s="95">
        <v>116.49889718458701</v>
      </c>
      <c r="P117" s="95">
        <v>126.85928073795687</v>
      </c>
      <c r="Q117" s="95">
        <v>137.96732145950327</v>
      </c>
      <c r="R117" s="95">
        <v>149.86343491812445</v>
      </c>
      <c r="S117" s="95">
        <v>162.58947722456142</v>
      </c>
      <c r="T117" s="95">
        <v>176.18877034362114</v>
      </c>
      <c r="U117" s="95">
        <v>190.70612740639868</v>
      </c>
      <c r="V117" s="95">
        <v>206.18787802249946</v>
      </c>
      <c r="W117" s="95">
        <v>222.68189359226179</v>
      </c>
    </row>
    <row r="118" spans="2:23" x14ac:dyDescent="0.2">
      <c r="F118" s="112"/>
      <c r="G118" s="112">
        <f t="shared" si="77"/>
        <v>45</v>
      </c>
      <c r="H118" s="50">
        <f t="shared" ca="1" si="73"/>
        <v>614.76327605558606</v>
      </c>
      <c r="J118" s="112"/>
      <c r="K118" s="115">
        <f t="shared" si="75"/>
        <v>4.2500000000000003E-2</v>
      </c>
      <c r="L118" s="95">
        <v>94.470052768910591</v>
      </c>
      <c r="M118" s="95">
        <v>103.31548806326795</v>
      </c>
      <c r="N118" s="95">
        <v>112.83527033452707</v>
      </c>
      <c r="O118" s="95">
        <v>123.0679482287884</v>
      </c>
      <c r="P118" s="95">
        <v>134.0535227085488</v>
      </c>
      <c r="Q118" s="95">
        <v>145.83347400438595</v>
      </c>
      <c r="R118" s="95">
        <v>158.45078856664315</v>
      </c>
      <c r="S118" s="95">
        <v>171.94998601711325</v>
      </c>
      <c r="T118" s="95">
        <v>186.37714610072337</v>
      </c>
      <c r="U118" s="95">
        <v>201.7799356372193</v>
      </c>
      <c r="V118" s="95">
        <v>218.20763547284994</v>
      </c>
      <c r="W118" s="95">
        <v>235.71116743205189</v>
      </c>
    </row>
    <row r="119" spans="2:23" x14ac:dyDescent="0.2">
      <c r="F119" s="112"/>
      <c r="G119" s="112">
        <f t="shared" si="77"/>
        <v>47.5</v>
      </c>
      <c r="H119" s="50">
        <f t="shared" ca="1" si="73"/>
        <v>648.91679139200744</v>
      </c>
      <c r="J119" s="112"/>
      <c r="K119" s="115">
        <f t="shared" si="75"/>
        <v>4.5000000000000005E-2</v>
      </c>
      <c r="L119" s="95">
        <v>100.13323625358142</v>
      </c>
      <c r="M119" s="95">
        <v>109.55026621174351</v>
      </c>
      <c r="N119" s="95">
        <v>119.68689237437373</v>
      </c>
      <c r="O119" s="95">
        <v>130.58429829964635</v>
      </c>
      <c r="P119" s="95">
        <v>142.28522022186928</v>
      </c>
      <c r="Q119" s="95">
        <v>154.83397587905145</v>
      </c>
      <c r="R119" s="95">
        <v>168.27649334047067</v>
      </c>
      <c r="S119" s="95">
        <v>182.66033983424015</v>
      </c>
      <c r="T119" s="95">
        <v>198.03475057487657</v>
      </c>
      <c r="U119" s="95">
        <v>214.45065759086714</v>
      </c>
      <c r="V119" s="95">
        <v>231.96071855223718</v>
      </c>
      <c r="W119" s="95">
        <v>250.61934559811746</v>
      </c>
    </row>
    <row r="120" spans="2:23" x14ac:dyDescent="0.2">
      <c r="F120" s="112"/>
      <c r="G120" s="112">
        <f t="shared" si="77"/>
        <v>50</v>
      </c>
      <c r="H120" s="50">
        <f t="shared" ca="1" si="73"/>
        <v>683.07030672842882</v>
      </c>
      <c r="J120" s="112"/>
      <c r="K120" s="115">
        <f t="shared" si="75"/>
        <v>4.7500000000000007E-2</v>
      </c>
      <c r="L120" s="95">
        <v>106.6767912215946</v>
      </c>
      <c r="M120" s="95">
        <v>116.75427322270278</v>
      </c>
      <c r="N120" s="95">
        <v>127.60363488486178</v>
      </c>
      <c r="O120" s="95">
        <v>139.26910428917853</v>
      </c>
      <c r="P120" s="95">
        <v>151.79657815407674</v>
      </c>
      <c r="Q120" s="95">
        <v>165.23365283036307</v>
      </c>
      <c r="R120" s="95">
        <v>179.62965529629366</v>
      </c>
      <c r="S120" s="95">
        <v>195.03567415263956</v>
      </c>
      <c r="T120" s="95">
        <v>211.50459061775334</v>
      </c>
      <c r="U120" s="95">
        <v>229.09110952263526</v>
      </c>
      <c r="V120" s="95">
        <v>247.85179030599897</v>
      </c>
      <c r="W120" s="95">
        <v>267.84507800933824</v>
      </c>
    </row>
    <row r="121" spans="2:23" x14ac:dyDescent="0.2">
      <c r="F121" s="112"/>
      <c r="G121" s="112">
        <f t="shared" si="77"/>
        <v>52.5</v>
      </c>
      <c r="H121" s="50">
        <f t="shared" ca="1" si="73"/>
        <v>717.22382206485031</v>
      </c>
      <c r="J121" s="112"/>
      <c r="K121" s="115">
        <f t="shared" si="75"/>
        <v>5.000000000000001E-2</v>
      </c>
      <c r="L121" s="95">
        <v>114.32359389162917</v>
      </c>
      <c r="M121" s="95">
        <v>125.17288058760388</v>
      </c>
      <c r="N121" s="95">
        <v>136.85514542662423</v>
      </c>
      <c r="O121" s="95">
        <v>149.41817432131296</v>
      </c>
      <c r="P121" s="95">
        <v>162.91155733392489</v>
      </c>
      <c r="Q121" s="95">
        <v>177.38672220435384</v>
      </c>
      <c r="R121" s="95">
        <v>192.89696787813961</v>
      </c>
      <c r="S121" s="95">
        <v>209.49749803447361</v>
      </c>
      <c r="T121" s="95">
        <v>227.24545461420624</v>
      </c>
      <c r="U121" s="95">
        <v>246.19995134785327</v>
      </c>
      <c r="V121" s="95">
        <v>266.42210728360243</v>
      </c>
      <c r="W121" s="95">
        <v>287.97508031531993</v>
      </c>
    </row>
    <row r="122" spans="2:23" x14ac:dyDescent="0.2">
      <c r="F122" s="112"/>
      <c r="G122" s="112">
        <f>G121+2.5</f>
        <v>55</v>
      </c>
      <c r="H122" s="50">
        <f t="shared" ca="1" si="73"/>
        <v>751.37733740127169</v>
      </c>
    </row>
  </sheetData>
  <dataConsolidate/>
  <conditionalFormatting sqref="B23:B28">
    <cfRule type="expression" priority="111">
      <formula>B23="buy"</formula>
    </cfRule>
    <cfRule type="colorScale" priority="110">
      <colorScale>
        <cfvo type="formula" val="$B$20&lt;#REF!"/>
        <cfvo type="formula" val="&quot;=&quot;"/>
        <color rgb="FFFF0000"/>
        <color rgb="FFFFEF9C"/>
      </colorScale>
    </cfRule>
    <cfRule type="colorScale" priority="109">
      <colorScale>
        <cfvo type="formula" val="$B$20&lt;#REF!"/>
        <cfvo type="formula" val="$B$20&gt;#REF!"/>
        <color rgb="FFFCFCFF"/>
        <color rgb="FF63BE7B"/>
      </colorScale>
    </cfRule>
    <cfRule type="cellIs" dxfId="51" priority="108" operator="equal">
      <formula>"""BUY"""</formula>
    </cfRule>
    <cfRule type="containsText" dxfId="50" priority="107" operator="containsText" text="&quot;SELL&quot;">
      <formula>NOT(ISERROR(SEARCH("""SELL""",B23)))</formula>
    </cfRule>
    <cfRule type="containsText" dxfId="49" priority="106" operator="containsText" text="SELL">
      <formula>NOT(ISERROR(SEARCH("SELL",B23)))</formula>
    </cfRule>
    <cfRule type="containsText" dxfId="48" priority="105" operator="containsText" text="BUY">
      <formula>NOT(ISERROR(SEARCH("BUY",B23)))</formula>
    </cfRule>
  </conditionalFormatting>
  <conditionalFormatting sqref="D100:D117">
    <cfRule type="colorScale" priority="114">
      <colorScale>
        <cfvo type="num" val="$B$2-100"/>
        <cfvo type="num" val="+$B$2"/>
        <cfvo type="num" val="200+$B$2"/>
        <color rgb="FFFF0000"/>
        <color rgb="FFFFFF00"/>
        <color rgb="FF00B050"/>
      </colorScale>
    </cfRule>
    <cfRule type="colorScale" priority="115">
      <colorScale>
        <cfvo type="min"/>
        <cfvo type="percentile" val="50"/>
        <cfvo type="max"/>
        <color rgb="FFF8696B"/>
        <color rgb="FFFCFCFF"/>
        <color rgb="FF63BE7B"/>
      </colorScale>
    </cfRule>
  </conditionalFormatting>
  <conditionalFormatting sqref="D75:AB94">
    <cfRule type="colorScale" priority="51">
      <colorScale>
        <cfvo type="num" val="$B$2-100"/>
        <cfvo type="num" val="$B$2-10"/>
        <cfvo type="num" val="$B$2+170"/>
        <color rgb="FFFF0000"/>
        <color rgb="FFFFFF00"/>
        <color rgb="FF00B050"/>
      </colorScale>
    </cfRule>
  </conditionalFormatting>
  <conditionalFormatting sqref="E27">
    <cfRule type="colorScale" priority="88">
      <colorScale>
        <cfvo type="formula" val="$B$20&lt;#REF!"/>
        <cfvo type="formula" val="$B$20&gt;#REF!"/>
        <color rgb="FFFCFCFF"/>
        <color rgb="FF63BE7B"/>
      </colorScale>
    </cfRule>
    <cfRule type="colorScale" priority="89">
      <colorScale>
        <cfvo type="formula" val="$B$20&lt;#REF!"/>
        <cfvo type="formula" val="&quot;=&quot;"/>
        <color rgb="FFFF0000"/>
        <color rgb="FFFFEF9C"/>
      </colorScale>
    </cfRule>
  </conditionalFormatting>
  <conditionalFormatting sqref="E27:F27">
    <cfRule type="containsText" dxfId="47" priority="72" operator="containsText" text="&quot;SELL&quot;">
      <formula>NOT(ISERROR(SEARCH("""SELL""",E27)))</formula>
    </cfRule>
    <cfRule type="containsText" dxfId="46" priority="71" operator="containsText" text="SELL">
      <formula>NOT(ISERROR(SEARCH("SELL",E27)))</formula>
    </cfRule>
    <cfRule type="expression" priority="76">
      <formula>E27="buy"</formula>
    </cfRule>
    <cfRule type="cellIs" dxfId="45" priority="73" operator="equal">
      <formula>"""BUY"""</formula>
    </cfRule>
    <cfRule type="containsText" dxfId="44" priority="70" operator="containsText" text="BUY">
      <formula>NOT(ISERROR(SEARCH("BUY",E27)))</formula>
    </cfRule>
  </conditionalFormatting>
  <conditionalFormatting sqref="F27">
    <cfRule type="colorScale" priority="75">
      <colorScale>
        <cfvo type="formula" val="$B$20&lt;#REF!"/>
        <cfvo type="formula" val="&quot;=&quot;"/>
        <color rgb="FFFF0000"/>
        <color rgb="FFFFEF9C"/>
      </colorScale>
    </cfRule>
    <cfRule type="colorScale" priority="74">
      <colorScale>
        <cfvo type="formula" val="$B$20&lt;#REF!"/>
        <cfvo type="formula" val="$B$20&gt;#REF!"/>
        <color rgb="FFFCFCFF"/>
        <color rgb="FF63BE7B"/>
      </colorScale>
    </cfRule>
  </conditionalFormatting>
  <conditionalFormatting sqref="H100:H122">
    <cfRule type="colorScale" priority="60">
      <colorScale>
        <cfvo type="num" val="$B$2-175"/>
        <cfvo type="num" val="$B$2"/>
        <cfvo type="num" val="$B$2+250"/>
        <color rgb="FFFF0000"/>
        <color rgb="FFFFFF00"/>
        <color rgb="FF00B050"/>
      </colorScale>
    </cfRule>
  </conditionalFormatting>
  <conditionalFormatting sqref="J26">
    <cfRule type="colorScale" priority="67">
      <colorScale>
        <cfvo type="formula" val="$B$20&lt;#REF!"/>
        <cfvo type="formula" val="$B$20&gt;#REF!"/>
        <color rgb="FFFCFCFF"/>
        <color rgb="FF63BE7B"/>
      </colorScale>
    </cfRule>
    <cfRule type="expression" priority="69">
      <formula>J26="buy"</formula>
    </cfRule>
    <cfRule type="colorScale" priority="68">
      <colorScale>
        <cfvo type="formula" val="$B$20&lt;#REF!"/>
        <cfvo type="formula" val="&quot;=&quot;"/>
        <color rgb="FFFF0000"/>
        <color rgb="FFFFEF9C"/>
      </colorScale>
    </cfRule>
    <cfRule type="cellIs" dxfId="43" priority="66" operator="equal">
      <formula>"""BUY"""</formula>
    </cfRule>
    <cfRule type="containsText" dxfId="42" priority="65" operator="containsText" text="&quot;SELL&quot;">
      <formula>NOT(ISERROR(SEARCH("""SELL""",J26)))</formula>
    </cfRule>
    <cfRule type="containsText" dxfId="41" priority="64" operator="containsText" text="SELL">
      <formula>NOT(ISERROR(SEARCH("SELL",J26)))</formula>
    </cfRule>
    <cfRule type="containsText" dxfId="40" priority="63" operator="containsText" text="BUY">
      <formula>NOT(ISERROR(SEARCH("BUY",J26)))</formula>
    </cfRule>
  </conditionalFormatting>
  <conditionalFormatting sqref="L101:W121">
    <cfRule type="colorScale" priority="1">
      <colorScale>
        <cfvo type="num" val="$B$2-120"/>
        <cfvo type="num" val="$B$2"/>
        <cfvo type="num" val="$B$2+50"/>
        <color rgb="FFFF0000"/>
        <color rgb="FFFFFF00"/>
        <color rgb="FF00B050"/>
      </colorScale>
    </cfRule>
  </conditionalFormatting>
  <conditionalFormatting sqref="W11">
    <cfRule type="colorScale" priority="42">
      <colorScale>
        <cfvo type="formula" val="$B$20&lt;#REF!"/>
        <cfvo type="formula" val="&quot;=&quot;"/>
        <color rgb="FFFF0000"/>
        <color rgb="FFFFEF9C"/>
      </colorScale>
    </cfRule>
    <cfRule type="containsText" dxfId="39" priority="37" operator="containsText" text="BUY">
      <formula>NOT(ISERROR(SEARCH("BUY",W11)))</formula>
    </cfRule>
    <cfRule type="containsText" dxfId="38" priority="38" operator="containsText" text="SELL">
      <formula>NOT(ISERROR(SEARCH("SELL",W11)))</formula>
    </cfRule>
    <cfRule type="containsText" dxfId="37" priority="39" operator="containsText" text="&quot;SELL&quot;">
      <formula>NOT(ISERROR(SEARCH("""SELL""",W11)))</formula>
    </cfRule>
    <cfRule type="expression" priority="43">
      <formula>W11="buy"</formula>
    </cfRule>
    <cfRule type="cellIs" dxfId="36" priority="40" operator="equal">
      <formula>"""BUY"""</formula>
    </cfRule>
    <cfRule type="colorScale" priority="41">
      <colorScale>
        <cfvo type="formula" val="$B$20&lt;#REF!"/>
        <cfvo type="formula" val="$B$20&gt;#REF!"/>
        <color rgb="FFFCFCFF"/>
        <color rgb="FF63BE7B"/>
      </colorScale>
    </cfRule>
  </conditionalFormatting>
  <conditionalFormatting sqref="W13">
    <cfRule type="cellIs" dxfId="35" priority="33" operator="equal">
      <formula>"""BUY"""</formula>
    </cfRule>
    <cfRule type="containsText" dxfId="34" priority="30" operator="containsText" text="BUY">
      <formula>NOT(ISERROR(SEARCH("BUY",W13)))</formula>
    </cfRule>
    <cfRule type="containsText" dxfId="33" priority="31" operator="containsText" text="SELL">
      <formula>NOT(ISERROR(SEARCH("SELL",W13)))</formula>
    </cfRule>
    <cfRule type="containsText" dxfId="32" priority="32" operator="containsText" text="&quot;SELL&quot;">
      <formula>NOT(ISERROR(SEARCH("""SELL""",W13)))</formula>
    </cfRule>
    <cfRule type="colorScale" priority="34">
      <colorScale>
        <cfvo type="formula" val="$B$20&lt;#REF!"/>
        <cfvo type="formula" val="$B$20&gt;#REF!"/>
        <color rgb="FFFCFCFF"/>
        <color rgb="FF63BE7B"/>
      </colorScale>
    </cfRule>
    <cfRule type="colorScale" priority="35">
      <colorScale>
        <cfvo type="formula" val="$B$20&lt;#REF!"/>
        <cfvo type="formula" val="&quot;=&quot;"/>
        <color rgb="FFFF0000"/>
        <color rgb="FFFFEF9C"/>
      </colorScale>
    </cfRule>
    <cfRule type="expression" priority="36">
      <formula>W13="buy"</formula>
    </cfRule>
  </conditionalFormatting>
  <conditionalFormatting sqref="W15">
    <cfRule type="containsText" dxfId="31" priority="53" operator="containsText" text="SELL">
      <formula>NOT(ISERROR(SEARCH("SELL",W15)))</formula>
    </cfRule>
    <cfRule type="containsText" dxfId="30" priority="52" operator="containsText" text="BUY">
      <formula>NOT(ISERROR(SEARCH("BUY",W15)))</formula>
    </cfRule>
    <cfRule type="containsText" dxfId="29" priority="54" operator="containsText" text="&quot;SELL&quot;">
      <formula>NOT(ISERROR(SEARCH("""SELL""",W15)))</formula>
    </cfRule>
    <cfRule type="cellIs" dxfId="28" priority="55" operator="equal">
      <formula>"""BUY"""</formula>
    </cfRule>
    <cfRule type="colorScale" priority="56">
      <colorScale>
        <cfvo type="formula" val="$B$20&lt;#REF!"/>
        <cfvo type="formula" val="$B$20&gt;#REF!"/>
        <color rgb="FFFCFCFF"/>
        <color rgb="FF63BE7B"/>
      </colorScale>
    </cfRule>
    <cfRule type="colorScale" priority="57">
      <colorScale>
        <cfvo type="formula" val="$B$20&lt;#REF!"/>
        <cfvo type="formula" val="&quot;=&quot;"/>
        <color rgb="FFFF0000"/>
        <color rgb="FFFFEF9C"/>
      </colorScale>
    </cfRule>
    <cfRule type="expression" priority="58">
      <formula>W15="buy"</formula>
    </cfRule>
  </conditionalFormatting>
  <conditionalFormatting sqref="W17">
    <cfRule type="containsText" dxfId="27" priority="44" operator="containsText" text="BUY">
      <formula>NOT(ISERROR(SEARCH("BUY",W17)))</formula>
    </cfRule>
    <cfRule type="containsText" dxfId="26" priority="45" operator="containsText" text="SELL">
      <formula>NOT(ISERROR(SEARCH("SELL",W17)))</formula>
    </cfRule>
    <cfRule type="containsText" dxfId="25" priority="46" operator="containsText" text="&quot;SELL&quot;">
      <formula>NOT(ISERROR(SEARCH("""SELL""",W17)))</formula>
    </cfRule>
    <cfRule type="cellIs" dxfId="24" priority="47" operator="equal">
      <formula>"""BUY"""</formula>
    </cfRule>
    <cfRule type="colorScale" priority="48">
      <colorScale>
        <cfvo type="formula" val="$B$20&lt;#REF!"/>
        <cfvo type="formula" val="$B$20&gt;#REF!"/>
        <color rgb="FFFCFCFF"/>
        <color rgb="FF63BE7B"/>
      </colorScale>
    </cfRule>
    <cfRule type="colorScale" priority="49">
      <colorScale>
        <cfvo type="formula" val="$B$20&lt;#REF!"/>
        <cfvo type="formula" val="&quot;=&quot;"/>
        <color rgb="FFFF0000"/>
        <color rgb="FFFFEF9C"/>
      </colorScale>
    </cfRule>
    <cfRule type="expression" priority="50">
      <formula>W17="buy"</formula>
    </cfRule>
  </conditionalFormatting>
  <conditionalFormatting sqref="W19">
    <cfRule type="containsText" dxfId="23" priority="10" operator="containsText" text="SELL">
      <formula>NOT(ISERROR(SEARCH("SELL",W19)))</formula>
    </cfRule>
    <cfRule type="expression" priority="15">
      <formula>W19="buy"</formula>
    </cfRule>
    <cfRule type="cellIs" dxfId="22" priority="12" operator="equal">
      <formula>"""BUY"""</formula>
    </cfRule>
    <cfRule type="colorScale" priority="13">
      <colorScale>
        <cfvo type="formula" val="$B$20&lt;#REF!"/>
        <cfvo type="formula" val="$B$20&gt;#REF!"/>
        <color rgb="FFFCFCFF"/>
        <color rgb="FF63BE7B"/>
      </colorScale>
    </cfRule>
    <cfRule type="containsText" dxfId="21" priority="11" operator="containsText" text="&quot;SELL&quot;">
      <formula>NOT(ISERROR(SEARCH("""SELL""",W19)))</formula>
    </cfRule>
    <cfRule type="colorScale" priority="14">
      <colorScale>
        <cfvo type="formula" val="$B$20&lt;#REF!"/>
        <cfvo type="formula" val="&quot;=&quot;"/>
        <color rgb="FFFF0000"/>
        <color rgb="FFFFEF9C"/>
      </colorScale>
    </cfRule>
    <cfRule type="containsText" dxfId="20" priority="9" operator="containsText" text="BUY">
      <formula>NOT(ISERROR(SEARCH("BUY",W19)))</formula>
    </cfRule>
  </conditionalFormatting>
  <conditionalFormatting sqref="W21">
    <cfRule type="expression" priority="8">
      <formula>W21="buy"</formula>
    </cfRule>
    <cfRule type="containsText" dxfId="19" priority="2" operator="containsText" text="BUY">
      <formula>NOT(ISERROR(SEARCH("BUY",W21)))</formula>
    </cfRule>
    <cfRule type="colorScale" priority="7">
      <colorScale>
        <cfvo type="formula" val="$B$20&lt;#REF!"/>
        <cfvo type="formula" val="&quot;=&quot;"/>
        <color rgb="FFFF0000"/>
        <color rgb="FFFFEF9C"/>
      </colorScale>
    </cfRule>
    <cfRule type="colorScale" priority="6">
      <colorScale>
        <cfvo type="formula" val="$B$20&lt;#REF!"/>
        <cfvo type="formula" val="$B$20&gt;#REF!"/>
        <color rgb="FFFCFCFF"/>
        <color rgb="FF63BE7B"/>
      </colorScale>
    </cfRule>
    <cfRule type="cellIs" dxfId="18" priority="5" operator="equal">
      <formula>"""BUY"""</formula>
    </cfRule>
    <cfRule type="containsText" dxfId="17" priority="4" operator="containsText" text="&quot;SELL&quot;">
      <formula>NOT(ISERROR(SEARCH("""SELL""",W21)))</formula>
    </cfRule>
    <cfRule type="containsText" dxfId="16" priority="3" operator="containsText" text="SELL">
      <formula>NOT(ISERROR(SEARCH("SELL",W21)))</formula>
    </cfRule>
  </conditionalFormatting>
  <conditionalFormatting sqref="W23">
    <cfRule type="containsText" dxfId="15" priority="24" operator="containsText" text="SELL">
      <formula>NOT(ISERROR(SEARCH("SELL",W23)))</formula>
    </cfRule>
    <cfRule type="containsText" dxfId="14" priority="25" operator="containsText" text="&quot;SELL&quot;">
      <formula>NOT(ISERROR(SEARCH("""SELL""",W23)))</formula>
    </cfRule>
    <cfRule type="cellIs" dxfId="13" priority="26" operator="equal">
      <formula>"""BUY"""</formula>
    </cfRule>
    <cfRule type="colorScale" priority="27">
      <colorScale>
        <cfvo type="formula" val="$B$20&lt;#REF!"/>
        <cfvo type="formula" val="$B$20&gt;#REF!"/>
        <color rgb="FFFCFCFF"/>
        <color rgb="FF63BE7B"/>
      </colorScale>
    </cfRule>
    <cfRule type="colorScale" priority="28">
      <colorScale>
        <cfvo type="formula" val="$B$20&lt;#REF!"/>
        <cfvo type="formula" val="&quot;=&quot;"/>
        <color rgb="FFFF0000"/>
        <color rgb="FFFFEF9C"/>
      </colorScale>
    </cfRule>
    <cfRule type="expression" priority="29">
      <formula>W23="buy"</formula>
    </cfRule>
    <cfRule type="containsText" dxfId="12" priority="23" operator="containsText" text="BUY">
      <formula>NOT(ISERROR(SEARCH("BUY",W23)))</formula>
    </cfRule>
  </conditionalFormatting>
  <conditionalFormatting sqref="W25:W28">
    <cfRule type="containsText" dxfId="11" priority="16" operator="containsText" text="BUY">
      <formula>NOT(ISERROR(SEARCH("BUY",W25)))</formula>
    </cfRule>
    <cfRule type="expression" priority="22">
      <formula>W25="buy"</formula>
    </cfRule>
    <cfRule type="colorScale" priority="21">
      <colorScale>
        <cfvo type="formula" val="$B$20&lt;#REF!"/>
        <cfvo type="formula" val="&quot;=&quot;"/>
        <color rgb="FFFF0000"/>
        <color rgb="FFFFEF9C"/>
      </colorScale>
    </cfRule>
    <cfRule type="colorScale" priority="20">
      <colorScale>
        <cfvo type="formula" val="$B$20&lt;#REF!"/>
        <cfvo type="formula" val="$B$20&gt;#REF!"/>
        <color rgb="FFFCFCFF"/>
        <color rgb="FF63BE7B"/>
      </colorScale>
    </cfRule>
    <cfRule type="cellIs" dxfId="10" priority="19" operator="equal">
      <formula>"""BUY"""</formula>
    </cfRule>
    <cfRule type="containsText" dxfId="9" priority="18" operator="containsText" text="&quot;SELL&quot;">
      <formula>NOT(ISERROR(SEARCH("""SELL""",W25)))</formula>
    </cfRule>
    <cfRule type="containsText" dxfId="8" priority="17" operator="containsText" text="SELL">
      <formula>NOT(ISERROR(SEARCH("SELL",W25)))</formula>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C32B4-5F8F-41EF-B425-B183D7F46BF8}">
  <dimension ref="A1:U67"/>
  <sheetViews>
    <sheetView showGridLines="0" zoomScale="87" workbookViewId="0">
      <selection activeCell="A13" sqref="A13"/>
    </sheetView>
  </sheetViews>
  <sheetFormatPr defaultRowHeight="12.9" x14ac:dyDescent="0.2"/>
  <cols>
    <col min="1" max="1" width="35" bestFit="1" customWidth="1"/>
    <col min="2" max="2" width="17.375" bestFit="1" customWidth="1"/>
    <col min="3" max="3" width="11.125" bestFit="1" customWidth="1"/>
    <col min="4" max="4" width="12" bestFit="1" customWidth="1"/>
    <col min="5" max="5" width="11.125" bestFit="1" customWidth="1"/>
    <col min="6" max="15" width="10.375" bestFit="1" customWidth="1"/>
    <col min="16" max="16" width="10.875" bestFit="1" customWidth="1"/>
    <col min="17" max="18" width="10.375" bestFit="1" customWidth="1"/>
    <col min="19" max="19" width="10.875" bestFit="1" customWidth="1"/>
    <col min="20" max="20" width="10.375" bestFit="1" customWidth="1"/>
  </cols>
  <sheetData>
    <row r="1" spans="1:21" ht="13.6" x14ac:dyDescent="0.25">
      <c r="A1" s="70" t="e" vm="1">
        <v>#VALUE!</v>
      </c>
    </row>
    <row r="2" spans="1:21" ht="13.6" x14ac:dyDescent="0.25">
      <c r="A2" s="70" t="s">
        <v>323</v>
      </c>
      <c r="B2" s="64" cm="1">
        <f t="array" aca="1" ref="B2" ca="1">_FV(A1,"Price")</f>
        <v>238.31</v>
      </c>
      <c r="D2" s="70" t="str">
        <f>DCF!D2</f>
        <v>WACC</v>
      </c>
      <c r="E2" s="106">
        <f>WACC</f>
        <v>7.9625350628261815E-2</v>
      </c>
    </row>
    <row r="3" spans="1:21" ht="13.6" x14ac:dyDescent="0.25">
      <c r="A3" s="70" t="s">
        <v>324</v>
      </c>
      <c r="B3" s="65" cm="1">
        <f t="array" aca="1" ref="B3" ca="1">_FV(A1,"Market cap",TRUE)</f>
        <v>118260908542</v>
      </c>
      <c r="D3" s="70" t="str">
        <f>DCF!D3</f>
        <v>Growth Rate</v>
      </c>
      <c r="E3" s="97">
        <v>3.5000000000000003E-2</v>
      </c>
    </row>
    <row r="4" spans="1:21" ht="13.6" x14ac:dyDescent="0.25">
      <c r="A4" s="70" t="s">
        <v>360</v>
      </c>
      <c r="B4" s="81" cm="1">
        <f t="array" aca="1" ref="B4" ca="1">_FV(A1,"Shares outstanding",TRUE)</f>
        <v>496248200</v>
      </c>
      <c r="M4" t="s">
        <v>348</v>
      </c>
    </row>
    <row r="5" spans="1:21" ht="13.6" x14ac:dyDescent="0.25">
      <c r="A5" s="70" t="s">
        <v>343</v>
      </c>
      <c r="B5" s="69">
        <v>0.1</v>
      </c>
      <c r="D5" s="112"/>
      <c r="E5" s="114">
        <f ca="1">B20</f>
        <v>297.89768293727769</v>
      </c>
      <c r="F5" s="113">
        <v>0.05</v>
      </c>
      <c r="G5" s="113">
        <f>F5+0.005</f>
        <v>5.5E-2</v>
      </c>
      <c r="H5" s="113">
        <f t="shared" ref="H5:K5" si="0">G5+0.005</f>
        <v>0.06</v>
      </c>
      <c r="I5" s="113">
        <f t="shared" si="0"/>
        <v>6.5000000000000002E-2</v>
      </c>
      <c r="J5" s="113">
        <f t="shared" si="0"/>
        <v>7.0000000000000007E-2</v>
      </c>
      <c r="K5" s="113">
        <f t="shared" si="0"/>
        <v>7.5000000000000011E-2</v>
      </c>
      <c r="L5" s="116">
        <f>WACC</f>
        <v>7.9625350628261815E-2</v>
      </c>
      <c r="M5" s="113">
        <f>K5+0.005</f>
        <v>8.0000000000000016E-2</v>
      </c>
      <c r="N5" s="113">
        <f t="shared" ref="N5:U5" si="1">M5+0.005</f>
        <v>8.500000000000002E-2</v>
      </c>
      <c r="O5" s="113">
        <f t="shared" si="1"/>
        <v>9.0000000000000024E-2</v>
      </c>
      <c r="P5" s="113">
        <f t="shared" si="1"/>
        <v>9.5000000000000029E-2</v>
      </c>
      <c r="Q5" s="113">
        <f t="shared" si="1"/>
        <v>0.10000000000000003</v>
      </c>
      <c r="R5" s="113">
        <f t="shared" si="1"/>
        <v>0.10500000000000004</v>
      </c>
      <c r="S5" s="113">
        <f t="shared" si="1"/>
        <v>0.11000000000000004</v>
      </c>
      <c r="T5" s="113">
        <f t="shared" si="1"/>
        <v>0.11500000000000005</v>
      </c>
      <c r="U5" s="113">
        <f t="shared" si="1"/>
        <v>0.12000000000000005</v>
      </c>
    </row>
    <row r="6" spans="1:21" x14ac:dyDescent="0.2">
      <c r="D6" s="112"/>
      <c r="E6" s="117">
        <v>0</v>
      </c>
      <c r="F6" s="95">
        <f t="dataTable" ref="F6:U25" dt2D="1" dtr="1" r1="E2" r2="E3"/>
        <v>323.95303661769674</v>
      </c>
      <c r="G6" s="95">
        <v>293.68420249340119</v>
      </c>
      <c r="H6" s="95">
        <v>268.51910812592251</v>
      </c>
      <c r="I6" s="95">
        <v>247.27817155087268</v>
      </c>
      <c r="J6" s="95">
        <v>229.11889893573394</v>
      </c>
      <c r="K6" s="95">
        <v>213.42351920244735</v>
      </c>
      <c r="L6" s="95">
        <v>200.69397573259903</v>
      </c>
      <c r="M6" s="95">
        <v>199.72875578958565</v>
      </c>
      <c r="N6" s="95">
        <v>187.68038496096455</v>
      </c>
      <c r="O6" s="95">
        <v>177.00294144261338</v>
      </c>
      <c r="P6" s="95">
        <v>167.47899078848431</v>
      </c>
      <c r="Q6" s="95">
        <v>158.93462011539276</v>
      </c>
      <c r="R6" s="95">
        <v>151.22907441346274</v>
      </c>
      <c r="S6" s="95">
        <v>144.24721938173496</v>
      </c>
      <c r="T6" s="95">
        <v>137.89397053891963</v>
      </c>
      <c r="U6">
        <v>132.0901151094512</v>
      </c>
    </row>
    <row r="7" spans="1:21" x14ac:dyDescent="0.2">
      <c r="A7" s="74" t="s">
        <v>356</v>
      </c>
      <c r="D7" s="112"/>
      <c r="E7" s="115">
        <f>E6+0.0025</f>
        <v>2.5000000000000001E-3</v>
      </c>
      <c r="F7" s="95">
        <v>336.57452582380586</v>
      </c>
      <c r="G7" s="95">
        <v>303.7259685026736</v>
      </c>
      <c r="H7" s="95">
        <v>276.6500181596752</v>
      </c>
      <c r="I7" s="95">
        <v>253.95943626901902</v>
      </c>
      <c r="J7" s="95">
        <v>234.67808296527087</v>
      </c>
      <c r="K7" s="95">
        <v>218.09915621583013</v>
      </c>
      <c r="L7" s="95">
        <v>204.71132215171733</v>
      </c>
      <c r="M7" s="95">
        <v>203.6983062751608</v>
      </c>
      <c r="N7" s="95">
        <v>191.07834499199336</v>
      </c>
      <c r="O7" s="95">
        <v>179.93291202277589</v>
      </c>
      <c r="P7" s="95">
        <v>170.02192506301023</v>
      </c>
      <c r="Q7" s="95">
        <v>161.15458393180384</v>
      </c>
      <c r="R7" s="95">
        <v>153.17734914118677</v>
      </c>
      <c r="S7" s="95">
        <v>145.96527534695642</v>
      </c>
      <c r="T7" s="95">
        <v>139.41565593694423</v>
      </c>
      <c r="U7">
        <v>133.4432903299066</v>
      </c>
    </row>
    <row r="8" spans="1:21" ht="13.6" x14ac:dyDescent="0.25">
      <c r="A8" s="70" t="s">
        <v>351</v>
      </c>
      <c r="B8" s="70"/>
      <c r="D8" s="112"/>
      <c r="E8" s="115">
        <f t="shared" ref="E8:E25" si="2">E7+0.0025</f>
        <v>5.0000000000000001E-3</v>
      </c>
      <c r="F8" s="95">
        <v>350.59840271948258</v>
      </c>
      <c r="G8" s="95">
        <v>314.77191111287311</v>
      </c>
      <c r="H8" s="95">
        <v>285.52010183285995</v>
      </c>
      <c r="I8" s="95">
        <v>261.19747304701087</v>
      </c>
      <c r="J8" s="95">
        <v>240.6648965355414</v>
      </c>
      <c r="K8" s="95">
        <v>223.1087673015974</v>
      </c>
      <c r="L8" s="95">
        <v>208.99783624544602</v>
      </c>
      <c r="M8" s="95">
        <v>207.93249345977429</v>
      </c>
      <c r="N8" s="95">
        <v>194.68867752496152</v>
      </c>
      <c r="O8" s="95">
        <v>183.03523381353622</v>
      </c>
      <c r="P8" s="95">
        <v>172.70613346389868</v>
      </c>
      <c r="Q8" s="95">
        <v>163.49138794907867</v>
      </c>
      <c r="R8" s="95">
        <v>155.22303760529698</v>
      </c>
      <c r="S8" s="95">
        <v>147.76514350099797</v>
      </c>
      <c r="T8" s="95">
        <v>141.00650885306084</v>
      </c>
      <c r="U8">
        <v>134.85529925559922</v>
      </c>
    </row>
    <row r="9" spans="1:21" x14ac:dyDescent="0.2">
      <c r="A9" t="s">
        <v>352</v>
      </c>
      <c r="B9" s="67">
        <f>E3</f>
        <v>3.5000000000000003E-2</v>
      </c>
      <c r="D9" s="112"/>
      <c r="E9" s="115">
        <f t="shared" si="2"/>
        <v>7.4999999999999997E-3</v>
      </c>
      <c r="F9" s="95">
        <v>366.27214748523897</v>
      </c>
      <c r="G9" s="95">
        <v>326.98058452414637</v>
      </c>
      <c r="H9" s="95">
        <v>295.23495537968131</v>
      </c>
      <c r="I9" s="95">
        <v>269.06490432743681</v>
      </c>
      <c r="J9" s="95">
        <v>247.13065519143353</v>
      </c>
      <c r="K9" s="95">
        <v>228.48946069001411</v>
      </c>
      <c r="L9" s="95">
        <v>213.58150758391528</v>
      </c>
      <c r="M9" s="95">
        <v>212.45869355367142</v>
      </c>
      <c r="N9" s="95">
        <v>198.53193473747598</v>
      </c>
      <c r="O9" s="95">
        <v>186.32557510676685</v>
      </c>
      <c r="P9" s="95">
        <v>175.54372520198078</v>
      </c>
      <c r="Q9" s="95">
        <v>165.95450569701697</v>
      </c>
      <c r="R9" s="95">
        <v>157.37363317013077</v>
      </c>
      <c r="S9" s="95">
        <v>149.65281010157807</v>
      </c>
      <c r="T9" s="95">
        <v>142.67135492806659</v>
      </c>
      <c r="U9">
        <v>136.33006413354485</v>
      </c>
    </row>
    <row r="10" spans="1:21" x14ac:dyDescent="0.2">
      <c r="D10" s="112"/>
      <c r="E10" s="115">
        <f t="shared" si="2"/>
        <v>0.01</v>
      </c>
      <c r="F10" s="95">
        <v>383.90511034671488</v>
      </c>
      <c r="G10" s="95">
        <v>340.54577720333879</v>
      </c>
      <c r="H10" s="95">
        <v>305.92129428118483</v>
      </c>
      <c r="I10" s="95">
        <v>277.64755663335598</v>
      </c>
      <c r="J10" s="95">
        <v>254.13522706865004</v>
      </c>
      <c r="K10" s="95">
        <v>234.2840535698474</v>
      </c>
      <c r="L10" s="95">
        <v>218.49434576298987</v>
      </c>
      <c r="M10" s="95">
        <v>217.30819365427556</v>
      </c>
      <c r="N10" s="95">
        <v>202.63140909749143</v>
      </c>
      <c r="O10" s="95">
        <v>189.82156273082435</v>
      </c>
      <c r="P10" s="95">
        <v>178.54823410112655</v>
      </c>
      <c r="Q10" s="95">
        <v>168.55446331984078</v>
      </c>
      <c r="R10" s="95">
        <v>159.63741797521899</v>
      </c>
      <c r="S10" s="95">
        <v>151.63486003218719</v>
      </c>
      <c r="T10" s="95">
        <v>144.41547938759643</v>
      </c>
      <c r="U10">
        <v>137.87186377866976</v>
      </c>
    </row>
    <row r="11" spans="1:21" x14ac:dyDescent="0.2">
      <c r="A11" t="s">
        <v>353</v>
      </c>
      <c r="B11" s="50">
        <f>B66*(1+B9)/(E2-B9)</f>
        <v>194185.56894565656</v>
      </c>
      <c r="D11" s="112"/>
      <c r="E11" s="115">
        <f t="shared" si="2"/>
        <v>1.2500000000000001E-2</v>
      </c>
      <c r="F11" s="95">
        <v>403.8891349230542</v>
      </c>
      <c r="G11" s="95">
        <v>355.70687490361269</v>
      </c>
      <c r="H11" s="95">
        <v>317.73251096179393</v>
      </c>
      <c r="I11" s="95">
        <v>287.04760439698168</v>
      </c>
      <c r="J11" s="95">
        <v>261.74889215258099</v>
      </c>
      <c r="K11" s="95">
        <v>240.54221388006741</v>
      </c>
      <c r="L11" s="95">
        <v>223.7731290085031</v>
      </c>
      <c r="M11" s="95">
        <v>222.51691598455403</v>
      </c>
      <c r="N11" s="95">
        <v>207.01360582716305</v>
      </c>
      <c r="O11" s="95">
        <v>193.54309794353077</v>
      </c>
      <c r="P11" s="95">
        <v>181.73483444870536</v>
      </c>
      <c r="Q11" s="95">
        <v>171.30298994968302</v>
      </c>
      <c r="R11" s="95">
        <v>162.02356952652823</v>
      </c>
      <c r="S11" s="95">
        <v>153.71855354898142</v>
      </c>
      <c r="T11" s="95">
        <v>146.24468308905458</v>
      </c>
      <c r="U11">
        <v>139.48537503519589</v>
      </c>
    </row>
    <row r="12" spans="1:21" x14ac:dyDescent="0.2">
      <c r="D12" s="112"/>
      <c r="E12" s="115">
        <f t="shared" si="2"/>
        <v>1.5000000000000001E-2</v>
      </c>
      <c r="F12" s="95">
        <v>426.72802015315636</v>
      </c>
      <c r="G12" s="95">
        <v>372.76310981642092</v>
      </c>
      <c r="H12" s="95">
        <v>330.85608505135957</v>
      </c>
      <c r="I12" s="95">
        <v>297.38765693697002</v>
      </c>
      <c r="J12" s="95">
        <v>270.05470860777842</v>
      </c>
      <c r="K12" s="95">
        <v>247.32188754947242</v>
      </c>
      <c r="L12" s="95">
        <v>229.46032653681672</v>
      </c>
      <c r="M12" s="95">
        <v>228.12630926331548</v>
      </c>
      <c r="N12" s="95">
        <v>211.70881660895412</v>
      </c>
      <c r="O12" s="95">
        <v>197.51273550375097</v>
      </c>
      <c r="P12" s="95">
        <v>185.12059731800787</v>
      </c>
      <c r="Q12" s="95">
        <v>174.2131946165749</v>
      </c>
      <c r="R12" s="95">
        <v>164.54228505291016</v>
      </c>
      <c r="S12" s="95">
        <v>155.91191514560694</v>
      </c>
      <c r="T12" s="95">
        <v>148.16534697558561</v>
      </c>
      <c r="U12">
        <v>141.17572016108039</v>
      </c>
    </row>
    <row r="13" spans="1:21" x14ac:dyDescent="0.2">
      <c r="A13" t="s">
        <v>354</v>
      </c>
      <c r="B13" s="75">
        <f>NPV(E2,I66,H66,G66,F66,E66,D66,C66,B11+B66)</f>
        <v>138973.19070822003</v>
      </c>
      <c r="D13" s="112" t="s">
        <v>352</v>
      </c>
      <c r="E13" s="115">
        <f t="shared" si="2"/>
        <v>1.7500000000000002E-2</v>
      </c>
      <c r="F13" s="95">
        <v>453.08058003404346</v>
      </c>
      <c r="G13" s="95">
        <v>392.09350938427013</v>
      </c>
      <c r="H13" s="95">
        <v>345.52360903381543</v>
      </c>
      <c r="I13" s="95">
        <v>308.81613606011507</v>
      </c>
      <c r="J13" s="95">
        <v>279.15155520156611</v>
      </c>
      <c r="K13" s="95">
        <v>254.69109805969529</v>
      </c>
      <c r="L13" s="95">
        <v>235.60524361687536</v>
      </c>
      <c r="M13" s="95">
        <v>234.18445400437784</v>
      </c>
      <c r="N13" s="95">
        <v>216.75182078198895</v>
      </c>
      <c r="O13" s="95">
        <v>201.75614117157255</v>
      </c>
      <c r="P13" s="95">
        <v>188.72479650145888</v>
      </c>
      <c r="Q13" s="95">
        <v>177.2997753238844</v>
      </c>
      <c r="R13" s="95">
        <v>167.20492718079967</v>
      </c>
      <c r="S13" s="95">
        <v>158.22383682853649</v>
      </c>
      <c r="T13" s="95">
        <v>150.18450644604133</v>
      </c>
      <c r="U13">
        <v>142.94852114676414</v>
      </c>
    </row>
    <row r="14" spans="1:21" x14ac:dyDescent="0.2">
      <c r="A14" s="76" t="str">
        <f>"(-)"&amp;A48</f>
        <v>(-)Cash &amp; Short-Term Investments</v>
      </c>
      <c r="B14" s="50">
        <f>B48</f>
        <v>1976.5469544123005</v>
      </c>
      <c r="D14" s="112"/>
      <c r="E14" s="115">
        <f t="shared" si="2"/>
        <v>0.02</v>
      </c>
      <c r="F14" s="95">
        <v>483.82523322841172</v>
      </c>
      <c r="G14" s="95">
        <v>414.18539460466928</v>
      </c>
      <c r="H14" s="95">
        <v>362.02457351407816</v>
      </c>
      <c r="I14" s="95">
        <v>321.51444619694286</v>
      </c>
      <c r="J14" s="95">
        <v>289.15808645473254</v>
      </c>
      <c r="K14" s="95">
        <v>262.73023679812019</v>
      </c>
      <c r="L14" s="95">
        <v>242.2654546964921</v>
      </c>
      <c r="M14" s="95">
        <v>240.74744414052873</v>
      </c>
      <c r="N14" s="95">
        <v>222.1827483529496</v>
      </c>
      <c r="O14" s="95">
        <v>206.30264724423856</v>
      </c>
      <c r="P14" s="95">
        <v>192.56927563047336</v>
      </c>
      <c r="Q14" s="95">
        <v>180.57926732540079</v>
      </c>
      <c r="R14" s="95">
        <v>170.02419531621209</v>
      </c>
      <c r="S14" s="95">
        <v>160.66419860496214</v>
      </c>
      <c r="T14" s="95">
        <v>152.30993746757363</v>
      </c>
      <c r="U14">
        <v>144.80996218173209</v>
      </c>
    </row>
    <row r="15" spans="1:21" x14ac:dyDescent="0.2">
      <c r="A15" s="76" t="str">
        <f>"(-)"&amp;A49</f>
        <v>(-)Short-Term Receivables</v>
      </c>
      <c r="B15" s="50">
        <f>B49</f>
        <v>2394.8108120129655</v>
      </c>
      <c r="D15" s="112"/>
      <c r="E15" s="115">
        <f t="shared" si="2"/>
        <v>2.2499999999999999E-2</v>
      </c>
      <c r="F15" s="95">
        <v>520.15982336721049</v>
      </c>
      <c r="G15" s="95">
        <v>439.67603139743755</v>
      </c>
      <c r="H15" s="95">
        <v>380.72566659170923</v>
      </c>
      <c r="I15" s="95">
        <v>335.70667517339751</v>
      </c>
      <c r="J15" s="95">
        <v>300.21793678717967</v>
      </c>
      <c r="K15" s="95">
        <v>271.53500779734748</v>
      </c>
      <c r="L15" s="95">
        <v>249.50861283957261</v>
      </c>
      <c r="M15" s="95">
        <v>247.88112907112753</v>
      </c>
      <c r="N15" s="95">
        <v>228.04815012958704</v>
      </c>
      <c r="O15" s="95">
        <v>211.18593154450937</v>
      </c>
      <c r="P15" s="95">
        <v>196.67889125114399</v>
      </c>
      <c r="Q15" s="95">
        <v>184.07033945604721</v>
      </c>
      <c r="R15" s="95">
        <v>173.01432818710398</v>
      </c>
      <c r="S15" s="95">
        <v>163.24400962575498</v>
      </c>
      <c r="T15" s="95">
        <v>154.55025665243204</v>
      </c>
      <c r="U15">
        <v>146.76686173131375</v>
      </c>
    </row>
    <row r="16" spans="1:21" x14ac:dyDescent="0.2">
      <c r="A16" s="76" t="str">
        <f>"(+)"&amp;"Total Debt"</f>
        <v>(+)Total Debt</v>
      </c>
      <c r="B16" s="62">
        <f>WACC!E36</f>
        <v>13229.356</v>
      </c>
      <c r="D16" s="112"/>
      <c r="E16" s="115">
        <f t="shared" si="2"/>
        <v>2.4999999999999998E-2</v>
      </c>
      <c r="F16" s="95">
        <v>563.76133153376895</v>
      </c>
      <c r="G16" s="95">
        <v>469.41510765566721</v>
      </c>
      <c r="H16" s="95">
        <v>402.09834439471621</v>
      </c>
      <c r="I16" s="95">
        <v>351.67293277190885</v>
      </c>
      <c r="J16" s="95">
        <v>312.50665937878745</v>
      </c>
      <c r="K16" s="95">
        <v>281.22025589649752</v>
      </c>
      <c r="L16" s="95">
        <v>257.41475603078328</v>
      </c>
      <c r="M16" s="95">
        <v>255.66333081359889</v>
      </c>
      <c r="N16" s="95">
        <v>234.40233538761095</v>
      </c>
      <c r="O16" s="95">
        <v>216.44485309864723</v>
      </c>
      <c r="P16" s="95">
        <v>201.08205084471962</v>
      </c>
      <c r="Q16" s="95">
        <v>187.79414972873678</v>
      </c>
      <c r="R16" s="95">
        <v>176.19134436242669</v>
      </c>
      <c r="S16" s="95">
        <v>165.97557423600622</v>
      </c>
      <c r="T16" s="95">
        <v>156.91503801422701</v>
      </c>
      <c r="U16">
        <v>148.82675599403132</v>
      </c>
    </row>
    <row r="17" spans="1:21" x14ac:dyDescent="0.2">
      <c r="A17" t="s">
        <v>355</v>
      </c>
      <c r="B17" s="96">
        <f>B13-B14-B15+B16</f>
        <v>147831.18894179477</v>
      </c>
      <c r="D17" s="112"/>
      <c r="E17" s="115">
        <f t="shared" si="2"/>
        <v>2.7499999999999997E-2</v>
      </c>
      <c r="F17" s="95">
        <v>617.05206373734052</v>
      </c>
      <c r="G17" s="95">
        <v>504.56128868812027</v>
      </c>
      <c r="H17" s="95">
        <v>426.75912647510899</v>
      </c>
      <c r="I17" s="95">
        <v>369.76802471688842</v>
      </c>
      <c r="J17" s="95">
        <v>326.24111403999632</v>
      </c>
      <c r="K17" s="95">
        <v>291.92500379555804</v>
      </c>
      <c r="L17" s="95">
        <v>266.0792771605515</v>
      </c>
      <c r="M17" s="95">
        <v>264.1866946267819</v>
      </c>
      <c r="N17" s="95">
        <v>241.30905849415868</v>
      </c>
      <c r="O17" s="95">
        <v>222.12448837711608</v>
      </c>
      <c r="P17" s="95">
        <v>205.81137040818979</v>
      </c>
      <c r="Q17" s="95">
        <v>191.77477450299114</v>
      </c>
      <c r="R17" s="95">
        <v>179.57332932325406</v>
      </c>
      <c r="S17" s="95">
        <v>168.87268821657574</v>
      </c>
      <c r="T17" s="95">
        <v>159.41494973955309</v>
      </c>
      <c r="U17">
        <v>150.9979958925714</v>
      </c>
    </row>
    <row r="18" spans="1:21" x14ac:dyDescent="0.2">
      <c r="D18" s="112"/>
      <c r="E18" s="115">
        <f t="shared" si="2"/>
        <v>2.9999999999999995E-2</v>
      </c>
      <c r="F18" s="95">
        <v>683.66547899180512</v>
      </c>
      <c r="G18" s="95">
        <v>546.73670592706424</v>
      </c>
      <c r="H18" s="95">
        <v>455.53003890223368</v>
      </c>
      <c r="I18" s="95">
        <v>390.44812979686515</v>
      </c>
      <c r="J18" s="95">
        <v>341.69237553385631</v>
      </c>
      <c r="K18" s="95">
        <v>303.8191681278476</v>
      </c>
      <c r="L18" s="95">
        <v>275.61679173218704</v>
      </c>
      <c r="M18" s="95">
        <v>273.56239482128314</v>
      </c>
      <c r="N18" s="95">
        <v>248.84366551948344</v>
      </c>
      <c r="O18" s="95">
        <v>228.27742659545737</v>
      </c>
      <c r="P18" s="95">
        <v>210.90448378423454</v>
      </c>
      <c r="Q18" s="95">
        <v>196.03972961826366</v>
      </c>
      <c r="R18" s="95">
        <v>183.1807799481366</v>
      </c>
      <c r="S18" s="95">
        <v>171.95087182093081</v>
      </c>
      <c r="T18" s="95">
        <v>162.06191509578073</v>
      </c>
      <c r="U18">
        <v>153.28986022991933</v>
      </c>
    </row>
    <row r="19" spans="1:21" x14ac:dyDescent="0.2">
      <c r="A19" t="s">
        <v>357</v>
      </c>
      <c r="B19">
        <f ca="1">B4/1000000</f>
        <v>496.2482</v>
      </c>
      <c r="D19" s="112"/>
      <c r="E19" s="115">
        <f t="shared" si="2"/>
        <v>3.2499999999999994E-2</v>
      </c>
      <c r="F19" s="95">
        <v>769.31129860468786</v>
      </c>
      <c r="G19" s="95">
        <v>598.28443810799536</v>
      </c>
      <c r="H19" s="95">
        <v>489.53202631610844</v>
      </c>
      <c r="I19" s="95">
        <v>414.3097895045305</v>
      </c>
      <c r="J19" s="95">
        <v>359.20380522689749</v>
      </c>
      <c r="K19" s="95">
        <v>317.11264591099462</v>
      </c>
      <c r="L19" s="95">
        <v>286.16623666025339</v>
      </c>
      <c r="M19" s="95">
        <v>283.92501082573193</v>
      </c>
      <c r="N19" s="95">
        <v>257.09585416626771</v>
      </c>
      <c r="O19" s="95">
        <v>234.96540291974134</v>
      </c>
      <c r="P19" s="95">
        <v>216.40504623036296</v>
      </c>
      <c r="Q19" s="95">
        <v>200.62060733466748</v>
      </c>
      <c r="R19" s="95">
        <v>187.03702027128688</v>
      </c>
      <c r="S19" s="95">
        <v>175.22764791588952</v>
      </c>
      <c r="T19" s="95">
        <v>164.86930259481005</v>
      </c>
      <c r="U19">
        <v>155.7126882436871</v>
      </c>
    </row>
    <row r="20" spans="1:21" ht="13.6" x14ac:dyDescent="0.25">
      <c r="A20" t="s">
        <v>358</v>
      </c>
      <c r="B20" s="75">
        <f ca="1">B17/B19</f>
        <v>297.89768293727769</v>
      </c>
      <c r="D20" s="112"/>
      <c r="E20" s="116">
        <f>E19+0.0025</f>
        <v>3.4999999999999996E-2</v>
      </c>
      <c r="F20" s="95">
        <v>883.50572475519868</v>
      </c>
      <c r="G20" s="95">
        <v>662.71910333415985</v>
      </c>
      <c r="H20" s="95">
        <v>530.33441121275825</v>
      </c>
      <c r="I20" s="95">
        <v>442.14839249680682</v>
      </c>
      <c r="J20" s="95">
        <v>379.2168677332304</v>
      </c>
      <c r="K20" s="95">
        <v>332.06780841703511</v>
      </c>
      <c r="L20" s="103">
        <v>297.89768293727769</v>
      </c>
      <c r="M20" s="95">
        <v>295.43902860845282</v>
      </c>
      <c r="N20" s="95">
        <v>266.17326167773052</v>
      </c>
      <c r="O20" s="95">
        <v>242.26137709168754</v>
      </c>
      <c r="P20" s="95">
        <v>222.36398888033531</v>
      </c>
      <c r="Q20" s="95">
        <v>205.55386026002546</v>
      </c>
      <c r="R20" s="95">
        <v>191.16870633180508</v>
      </c>
      <c r="S20" s="95">
        <v>178.72287575051203</v>
      </c>
      <c r="T20" s="95">
        <v>167.85215181252869</v>
      </c>
      <c r="U20">
        <v>158.27803555238242</v>
      </c>
    </row>
    <row r="21" spans="1:21" x14ac:dyDescent="0.2">
      <c r="D21" s="112"/>
      <c r="E21" s="115">
        <f t="shared" si="2"/>
        <v>3.7499999999999999E-2</v>
      </c>
      <c r="F21" s="95">
        <v>1043.3779213659138</v>
      </c>
      <c r="G21" s="95">
        <v>745.56367291065658</v>
      </c>
      <c r="H21" s="95">
        <v>580.20399275310785</v>
      </c>
      <c r="I21" s="95">
        <v>475.04855966949702</v>
      </c>
      <c r="J21" s="95">
        <v>402.30886293284522</v>
      </c>
      <c r="K21" s="95">
        <v>349.01699259054766</v>
      </c>
      <c r="L21" s="95">
        <v>311.02157415565688</v>
      </c>
      <c r="M21" s="95">
        <v>308.30763671855254</v>
      </c>
      <c r="N21" s="95">
        <v>276.2061857693472</v>
      </c>
      <c r="O21" s="95">
        <v>250.25220594667618</v>
      </c>
      <c r="P21" s="95">
        <v>228.84110045639227</v>
      </c>
      <c r="Q21" s="95">
        <v>210.88177341941207</v>
      </c>
      <c r="R21" s="95">
        <v>195.60644321162087</v>
      </c>
      <c r="S21" s="95">
        <v>182.4591537806258</v>
      </c>
      <c r="T21" s="95">
        <v>171.02744291526147</v>
      </c>
      <c r="U21">
        <v>160.99885845554405</v>
      </c>
    </row>
    <row r="22" spans="1:21" x14ac:dyDescent="0.2">
      <c r="A22" t="str">
        <f ca="1">IF(B20&gt;$B$2,"Undervalued By", "Overvalued By")</f>
        <v>Undervalued By</v>
      </c>
      <c r="B22" s="67">
        <f ca="1">IF(B20&gt;$B$2,-($B$2-B20)/$B$2,($B$2-B20)/$B$2)</f>
        <v>0.25004272979429187</v>
      </c>
      <c r="D22" s="112"/>
      <c r="E22" s="115">
        <f t="shared" si="2"/>
        <v>0.04</v>
      </c>
      <c r="F22" s="95">
        <v>1283.1862162819864</v>
      </c>
      <c r="G22" s="95">
        <v>856.02309901265266</v>
      </c>
      <c r="H22" s="95">
        <v>642.54096967854491</v>
      </c>
      <c r="I22" s="95">
        <v>514.52876027672539</v>
      </c>
      <c r="J22" s="95">
        <v>429.24952399906249</v>
      </c>
      <c r="K22" s="95">
        <v>368.38748878884769</v>
      </c>
      <c r="L22" s="95">
        <v>325.80146223088394</v>
      </c>
      <c r="M22" s="95">
        <v>322.78482084241477</v>
      </c>
      <c r="N22" s="95">
        <v>287.35387920447681</v>
      </c>
      <c r="O22" s="95">
        <v>259.04211768716374</v>
      </c>
      <c r="P22" s="95">
        <v>235.9070403575453</v>
      </c>
      <c r="Q22" s="95">
        <v>216.65367934208086</v>
      </c>
      <c r="R22" s="95">
        <v>200.38554446680715</v>
      </c>
      <c r="S22" s="95">
        <v>186.4623088128906</v>
      </c>
      <c r="T22" s="95">
        <v>174.41442009150975</v>
      </c>
      <c r="U22">
        <v>163.88973279015335</v>
      </c>
    </row>
    <row r="23" spans="1:21" ht="13.6" x14ac:dyDescent="0.25">
      <c r="A23" t="s">
        <v>359</v>
      </c>
      <c r="B23" s="80" t="str">
        <f ca="1">IF(A22="Overvalued By","SELL","BUY")</f>
        <v>BUY</v>
      </c>
      <c r="D23" s="112"/>
      <c r="E23" s="115">
        <f t="shared" si="2"/>
        <v>4.2500000000000003E-2</v>
      </c>
      <c r="F23" s="95">
        <v>1682.866707808774</v>
      </c>
      <c r="G23" s="95">
        <v>1010.6662955554467</v>
      </c>
      <c r="H23" s="95">
        <v>722.68851143982113</v>
      </c>
      <c r="I23" s="95">
        <v>562.78233879667107</v>
      </c>
      <c r="J23" s="95">
        <v>461.08848707731943</v>
      </c>
      <c r="K23" s="95">
        <v>390.73806132534781</v>
      </c>
      <c r="L23" s="95">
        <v>342.57188882293451</v>
      </c>
      <c r="M23" s="95">
        <v>339.19229618279212</v>
      </c>
      <c r="N23" s="95">
        <v>299.81306598491585</v>
      </c>
      <c r="O23" s="95">
        <v>268.75728329507098</v>
      </c>
      <c r="P23" s="95">
        <v>243.64592691595104</v>
      </c>
      <c r="Q23" s="95">
        <v>222.92749012759043</v>
      </c>
      <c r="R23" s="95">
        <v>205.54697382240832</v>
      </c>
      <c r="S23" s="95">
        <v>190.76199384754534</v>
      </c>
      <c r="T23" s="95">
        <v>178.03498190060276</v>
      </c>
      <c r="U23">
        <v>166.96711514635035</v>
      </c>
    </row>
    <row r="24" spans="1:21" x14ac:dyDescent="0.2">
      <c r="D24" s="112"/>
      <c r="E24" s="115">
        <f t="shared" si="2"/>
        <v>4.5000000000000005E-2</v>
      </c>
      <c r="F24" s="95">
        <v>2482.2276908623498</v>
      </c>
      <c r="G24" s="95">
        <v>1242.6310903696383</v>
      </c>
      <c r="H24" s="95">
        <v>829.55190045485642</v>
      </c>
      <c r="I24" s="95">
        <v>623.09931194660294</v>
      </c>
      <c r="J24" s="95">
        <v>499.29524277122755</v>
      </c>
      <c r="K24" s="95">
        <v>416.81372928459785</v>
      </c>
      <c r="L24" s="95">
        <v>361.76401314334873</v>
      </c>
      <c r="M24" s="95">
        <v>357.94369657179459</v>
      </c>
      <c r="N24" s="95">
        <v>313.82965111290986</v>
      </c>
      <c r="O24" s="95">
        <v>279.55191174830134</v>
      </c>
      <c r="P24" s="95">
        <v>252.1587021301973</v>
      </c>
      <c r="Q24" s="95">
        <v>229.77164734814633</v>
      </c>
      <c r="R24" s="95">
        <v>211.13852229097623</v>
      </c>
      <c r="S24" s="95">
        <v>195.39242388486579</v>
      </c>
      <c r="T24" s="95">
        <v>181.91415526748813</v>
      </c>
      <c r="U24">
        <v>170.2496563262938</v>
      </c>
    </row>
    <row r="25" spans="1:21" x14ac:dyDescent="0.2">
      <c r="D25" s="112"/>
      <c r="E25" s="115">
        <f t="shared" si="2"/>
        <v>4.7500000000000007E-2</v>
      </c>
      <c r="F25" s="95">
        <v>4880.3106400230827</v>
      </c>
      <c r="G25" s="95">
        <v>1629.2390817266248</v>
      </c>
      <c r="H25" s="95">
        <v>979.16064507590579</v>
      </c>
      <c r="I25" s="95">
        <v>700.64970599651576</v>
      </c>
      <c r="J25" s="95">
        <v>545.9923886193377</v>
      </c>
      <c r="K25" s="95">
        <v>447.6304277818935</v>
      </c>
      <c r="L25" s="95">
        <v>383.94320592295202</v>
      </c>
      <c r="M25" s="95">
        <v>379.57992778987449</v>
      </c>
      <c r="N25" s="95">
        <v>329.71511425796967</v>
      </c>
      <c r="O25" s="95">
        <v>291.61649649014703</v>
      </c>
      <c r="P25" s="95">
        <v>261.56755894594323</v>
      </c>
      <c r="Q25" s="95">
        <v>237.26762906589806</v>
      </c>
      <c r="R25" s="95">
        <v>217.2162923655066</v>
      </c>
      <c r="S25" s="95">
        <v>200.39328832517197</v>
      </c>
      <c r="T25" s="95">
        <v>186.08067480969831</v>
      </c>
      <c r="U25">
        <v>173.75857965657823</v>
      </c>
    </row>
    <row r="28" spans="1:21" ht="13.6" x14ac:dyDescent="0.25">
      <c r="A28" s="77"/>
      <c r="B28" s="77" t="s">
        <v>326</v>
      </c>
      <c r="C28" s="77"/>
      <c r="D28" s="77"/>
      <c r="E28" s="77"/>
      <c r="F28" s="77"/>
      <c r="G28" s="77"/>
      <c r="H28" s="77"/>
      <c r="I28" s="77"/>
      <c r="J28" s="77" t="s">
        <v>325</v>
      </c>
      <c r="K28" s="77"/>
      <c r="L28" s="77"/>
      <c r="M28" s="77"/>
      <c r="N28" s="77"/>
      <c r="O28" s="77"/>
      <c r="P28" s="77"/>
      <c r="Q28" s="77"/>
      <c r="R28" s="77"/>
      <c r="S28" s="77"/>
      <c r="T28" s="77"/>
    </row>
    <row r="29" spans="1:21" ht="13.6" x14ac:dyDescent="0.25">
      <c r="A29" s="77" t="s">
        <v>303</v>
      </c>
      <c r="B29" s="78" t="s">
        <v>321</v>
      </c>
      <c r="C29" s="78" t="s">
        <v>320</v>
      </c>
      <c r="D29" s="78" t="s">
        <v>319</v>
      </c>
      <c r="E29" s="78" t="s">
        <v>318</v>
      </c>
      <c r="F29" s="78" t="s">
        <v>317</v>
      </c>
      <c r="G29" s="78" t="s">
        <v>316</v>
      </c>
      <c r="H29" s="78" t="s">
        <v>315</v>
      </c>
      <c r="I29" s="78" t="s">
        <v>314</v>
      </c>
      <c r="J29" s="77" t="str">
        <f>IS!C8</f>
        <v>OCT '23</v>
      </c>
      <c r="K29" s="77" t="str">
        <f>IS!D8</f>
        <v>OCT '22</v>
      </c>
      <c r="L29" s="77" t="str">
        <f>IS!E8</f>
        <v>OCT '21</v>
      </c>
      <c r="M29" s="77" t="str">
        <f>IS!F8</f>
        <v>OCT '20</v>
      </c>
      <c r="N29" s="77" t="str">
        <f>IS!G8</f>
        <v>OCT '19</v>
      </c>
      <c r="O29" s="77" t="str">
        <f>IS!H8</f>
        <v>OCT '18</v>
      </c>
      <c r="P29" s="77" t="str">
        <f>IS!I8</f>
        <v>OCT '17</v>
      </c>
      <c r="Q29" s="77" t="str">
        <f>IS!J8</f>
        <v>OCT '16</v>
      </c>
      <c r="R29" s="77" t="str">
        <f>IS!K8</f>
        <v>OCT '15</v>
      </c>
      <c r="S29" s="77" t="str">
        <f>IS!L8</f>
        <v>OCT '14</v>
      </c>
      <c r="T29" s="77" t="str">
        <f>IS!M8</f>
        <v>OCT '13</v>
      </c>
    </row>
    <row r="30" spans="1:21" x14ac:dyDescent="0.2">
      <c r="A30" s="4" t="str">
        <f>IS!A11</f>
        <v>Sales</v>
      </c>
      <c r="B30" s="108">
        <f>C30*(1+0.035)</f>
        <v>30435.692566804919</v>
      </c>
      <c r="C30" s="108">
        <f>D30*(1+0.09)</f>
        <v>29406.466248120698</v>
      </c>
      <c r="D30" s="108">
        <f>E30*(1+0.09)</f>
        <v>26978.409401945592</v>
      </c>
      <c r="E30" s="108">
        <f t="shared" ref="E30:H30" si="3">F30*(1+0.15)</f>
        <v>24750.834313711552</v>
      </c>
      <c r="F30" s="108">
        <f t="shared" si="3"/>
        <v>21522.464620618743</v>
      </c>
      <c r="G30" s="108">
        <f t="shared" si="3"/>
        <v>18715.186626624996</v>
      </c>
      <c r="H30" s="108">
        <f t="shared" si="3"/>
        <v>16274.075327499997</v>
      </c>
      <c r="I30" s="108">
        <f>J30*(1+0.15)</f>
        <v>14151.369849999999</v>
      </c>
      <c r="J30" s="107">
        <f>IS!C11</f>
        <v>12305.539000000001</v>
      </c>
      <c r="K30" s="107">
        <f>IS!D11</f>
        <v>12013.953</v>
      </c>
      <c r="L30" s="107">
        <f>IS!E11</f>
        <v>7318.2860000000001</v>
      </c>
      <c r="M30" s="107">
        <f>IS!F11</f>
        <v>5603.0559999999996</v>
      </c>
      <c r="N30" s="107">
        <f>IS!G11</f>
        <v>5991.0649999999996</v>
      </c>
      <c r="O30" s="107">
        <f>IS!H11</f>
        <v>6224.6890000000003</v>
      </c>
      <c r="P30" s="107">
        <f>IS!I11</f>
        <v>5107.5029999999997</v>
      </c>
      <c r="Q30" s="107">
        <f>IS!J11</f>
        <v>3421.4090000000001</v>
      </c>
      <c r="R30" s="107">
        <f>IS!K11</f>
        <v>3435.0920000000001</v>
      </c>
      <c r="S30" s="107">
        <f>IS!L11</f>
        <v>2864.7730000000001</v>
      </c>
      <c r="T30" s="107">
        <f>IS!M11</f>
        <v>2633.6889999999999</v>
      </c>
    </row>
    <row r="31" spans="1:21" x14ac:dyDescent="0.2">
      <c r="A31" s="51" t="str">
        <f>IS!A25</f>
        <v>EBIT (Operating Income)</v>
      </c>
      <c r="B31" s="108">
        <f t="shared" ref="B31:H31" si="4">B30*B32</f>
        <v>9764.7818617244066</v>
      </c>
      <c r="C31" s="108">
        <f>C30*C32</f>
        <v>9434.5718470767224</v>
      </c>
      <c r="D31" s="108">
        <f t="shared" si="4"/>
        <v>8655.5705019052475</v>
      </c>
      <c r="E31" s="108">
        <f t="shared" si="4"/>
        <v>7940.8903687204111</v>
      </c>
      <c r="F31" s="108">
        <f t="shared" si="4"/>
        <v>6905.1220597568799</v>
      </c>
      <c r="G31" s="108">
        <f t="shared" si="4"/>
        <v>6004.4539650059833</v>
      </c>
      <c r="H31" s="108">
        <f t="shared" si="4"/>
        <v>5221.2643173965071</v>
      </c>
      <c r="I31" s="108">
        <f>I30*I32</f>
        <v>4540.2298412143546</v>
      </c>
      <c r="J31" s="107">
        <f>IS!C25</f>
        <v>3981.835</v>
      </c>
      <c r="K31" s="107">
        <f>IS!D25</f>
        <v>3528.6060000000002</v>
      </c>
      <c r="L31" s="107">
        <f>IS!E25</f>
        <v>1914.819</v>
      </c>
      <c r="M31" s="107">
        <f>IS!F25</f>
        <v>1573.2180000000001</v>
      </c>
      <c r="N31" s="107">
        <f>IS!G25</f>
        <v>1798.519</v>
      </c>
      <c r="O31" s="107">
        <f>IS!H25</f>
        <v>1961.29</v>
      </c>
      <c r="P31" s="107">
        <f>IS!I25</f>
        <v>1170.9880000000001</v>
      </c>
      <c r="Q31" s="107">
        <f>IS!J25</f>
        <v>1050.5899999999999</v>
      </c>
      <c r="R31" s="107">
        <f>IS!K25</f>
        <v>826.33100000000002</v>
      </c>
      <c r="S31" s="107">
        <f>IS!L25</f>
        <v>829.58600000000001</v>
      </c>
      <c r="T31" s="107">
        <f>IS!M25</f>
        <v>782.923</v>
      </c>
    </row>
    <row r="32" spans="1:21" x14ac:dyDescent="0.2">
      <c r="A32" s="51" t="s">
        <v>259</v>
      </c>
      <c r="B32" s="101">
        <f t="shared" ref="B32:H32" si="5">AVERAGE($J$32:$O$32)+2.5%</f>
        <v>0.32083324012723441</v>
      </c>
      <c r="C32" s="101">
        <f t="shared" si="5"/>
        <v>0.32083324012723441</v>
      </c>
      <c r="D32" s="101">
        <f t="shared" si="5"/>
        <v>0.32083324012723441</v>
      </c>
      <c r="E32" s="101">
        <f t="shared" si="5"/>
        <v>0.32083324012723441</v>
      </c>
      <c r="F32" s="101">
        <f t="shared" si="5"/>
        <v>0.32083324012723441</v>
      </c>
      <c r="G32" s="101">
        <f t="shared" si="5"/>
        <v>0.32083324012723441</v>
      </c>
      <c r="H32" s="101">
        <f t="shared" si="5"/>
        <v>0.32083324012723441</v>
      </c>
      <c r="I32" s="101">
        <f>AVERAGE($J$32:$O$32)+2.5%</f>
        <v>0.32083324012723441</v>
      </c>
      <c r="J32" s="47">
        <f t="shared" ref="J32:S32" si="6">J31/J30</f>
        <v>0.32358070621693208</v>
      </c>
      <c r="K32" s="47">
        <f t="shared" si="6"/>
        <v>0.29370898987202632</v>
      </c>
      <c r="L32" s="47">
        <f t="shared" si="6"/>
        <v>0.26164856087887245</v>
      </c>
      <c r="M32" s="47">
        <f t="shared" si="6"/>
        <v>0.28077856084251168</v>
      </c>
      <c r="N32" s="47">
        <f t="shared" si="6"/>
        <v>0.30020021481990267</v>
      </c>
      <c r="O32" s="47">
        <f t="shared" si="6"/>
        <v>0.31508240813316135</v>
      </c>
      <c r="P32" s="47">
        <f t="shared" si="6"/>
        <v>0.22926819622034489</v>
      </c>
      <c r="Q32" s="47">
        <f t="shared" si="6"/>
        <v>0.30706355188754103</v>
      </c>
      <c r="R32" s="47">
        <f t="shared" si="6"/>
        <v>0.24055571146274976</v>
      </c>
      <c r="S32" s="47">
        <f t="shared" si="6"/>
        <v>0.28958175743767478</v>
      </c>
      <c r="T32" s="47">
        <f>T31/T30</f>
        <v>0.29727238105941894</v>
      </c>
    </row>
    <row r="33" spans="1:20" x14ac:dyDescent="0.2">
      <c r="A33" s="51" t="str">
        <f>IS!A41</f>
        <v>Income Taxes</v>
      </c>
      <c r="B33" s="108">
        <f>B30*B34</f>
        <v>3043.5692566804919</v>
      </c>
      <c r="C33" s="108">
        <f t="shared" ref="C33:I33" si="7">C30*C34</f>
        <v>2058.4526373684489</v>
      </c>
      <c r="D33" s="108">
        <f t="shared" si="7"/>
        <v>1888.4886581361916</v>
      </c>
      <c r="E33" s="108">
        <f t="shared" si="7"/>
        <v>1732.5584019598089</v>
      </c>
      <c r="F33" s="108">
        <f t="shared" si="7"/>
        <v>1076.1232310309372</v>
      </c>
      <c r="G33" s="108">
        <f t="shared" si="7"/>
        <v>935.75933133124988</v>
      </c>
      <c r="H33" s="108">
        <f t="shared" si="7"/>
        <v>813.70376637499987</v>
      </c>
      <c r="I33" s="108">
        <f t="shared" si="7"/>
        <v>707.56849250000005</v>
      </c>
      <c r="J33" s="107">
        <f>IS!C41</f>
        <v>293.42399999999998</v>
      </c>
      <c r="K33" s="107">
        <f>IS!D41</f>
        <v>350.18799999999999</v>
      </c>
      <c r="L33" s="107">
        <f>IS!E41</f>
        <v>-61.707999999999998</v>
      </c>
      <c r="M33" s="107">
        <f>IS!F41</f>
        <v>90.855999999999995</v>
      </c>
      <c r="N33" s="107">
        <f>IS!G41</f>
        <v>122.717</v>
      </c>
      <c r="O33" s="107">
        <f>IS!H41</f>
        <v>148.334</v>
      </c>
      <c r="P33" s="107">
        <f>IS!I41</f>
        <v>101.226</v>
      </c>
      <c r="Q33" s="107">
        <f>IS!J41</f>
        <v>95.257000000000005</v>
      </c>
      <c r="R33" s="107">
        <f>IS!K41</f>
        <v>113.236</v>
      </c>
      <c r="S33" s="107">
        <f>IS!L41</f>
        <v>100.02500000000001</v>
      </c>
      <c r="T33" s="107">
        <f>IS!M41</f>
        <v>141.83600000000001</v>
      </c>
    </row>
    <row r="34" spans="1:20" x14ac:dyDescent="0.2">
      <c r="A34" s="53" t="s">
        <v>305</v>
      </c>
      <c r="B34" s="102">
        <v>0.1</v>
      </c>
      <c r="C34" s="102">
        <v>7.0000000000000007E-2</v>
      </c>
      <c r="D34" s="102">
        <v>7.0000000000000007E-2</v>
      </c>
      <c r="E34" s="102">
        <v>7.0000000000000007E-2</v>
      </c>
      <c r="F34" s="102">
        <v>0.05</v>
      </c>
      <c r="G34" s="102">
        <v>0.05</v>
      </c>
      <c r="H34" s="102">
        <v>0.05</v>
      </c>
      <c r="I34" s="102">
        <v>0.05</v>
      </c>
      <c r="J34" s="127">
        <f t="shared" ref="J34:T34" si="8">J33/J30</f>
        <v>2.3844871809353491E-2</v>
      </c>
      <c r="K34" s="127">
        <f t="shared" si="8"/>
        <v>2.9148440983579677E-2</v>
      </c>
      <c r="L34" s="127">
        <f t="shared" si="8"/>
        <v>-8.4320290297482219E-3</v>
      </c>
      <c r="M34" s="127">
        <f t="shared" si="8"/>
        <v>1.621543671881916E-2</v>
      </c>
      <c r="N34" s="127">
        <f t="shared" si="8"/>
        <v>2.0483336435174717E-2</v>
      </c>
      <c r="O34" s="127">
        <f t="shared" si="8"/>
        <v>2.3829945560332411E-2</v>
      </c>
      <c r="P34" s="127">
        <f t="shared" si="8"/>
        <v>1.9819077932993874E-2</v>
      </c>
      <c r="Q34" s="127">
        <f t="shared" si="8"/>
        <v>2.7841453623346404E-2</v>
      </c>
      <c r="R34" s="127">
        <f t="shared" si="8"/>
        <v>3.2964473731707911E-2</v>
      </c>
      <c r="S34" s="127">
        <f t="shared" si="8"/>
        <v>3.4915506394398436E-2</v>
      </c>
      <c r="T34" s="127">
        <f t="shared" si="8"/>
        <v>5.3854498386104059E-2</v>
      </c>
    </row>
    <row r="35" spans="1:20" x14ac:dyDescent="0.2">
      <c r="A35" s="51" t="str">
        <f>IS!A16</f>
        <v>Depreciation</v>
      </c>
      <c r="B35" s="108">
        <f t="shared" ref="B35:H35" si="9">AVERAGE(C35:E35)*1.2</f>
        <v>667.29344438271971</v>
      </c>
      <c r="C35" s="108">
        <f>AVERAGE(D35:F35)*1.2</f>
        <v>607.59242004479984</v>
      </c>
      <c r="D35" s="108">
        <f>AVERAGE(E35:G35)*1.2</f>
        <v>554.85610803199984</v>
      </c>
      <c r="E35" s="108">
        <f>AVERAGE(F35:H35)*1.2</f>
        <v>505.78508287999989</v>
      </c>
      <c r="F35" s="108">
        <f>AVERAGE(G35:I35)*1.2</f>
        <v>458.33985919999992</v>
      </c>
      <c r="G35" s="108">
        <f t="shared" si="9"/>
        <v>423.01532799999995</v>
      </c>
      <c r="H35" s="108">
        <f t="shared" si="9"/>
        <v>383.10752000000002</v>
      </c>
      <c r="I35" s="108">
        <f>AVERAGE(J35:L35)*1.2</f>
        <v>339.72679999999997</v>
      </c>
      <c r="J35" s="107">
        <f>IS!C16</f>
        <v>334.70400000000001</v>
      </c>
      <c r="K35" s="107">
        <f>IS!D16</f>
        <v>283.33800000000002</v>
      </c>
      <c r="L35" s="107">
        <f>IS!E16</f>
        <v>231.27500000000001</v>
      </c>
      <c r="M35" s="107">
        <f>IS!F16</f>
        <v>233.77500000000001</v>
      </c>
      <c r="N35" s="107">
        <f>IS!G16</f>
        <v>240.67699999999999</v>
      </c>
      <c r="O35" s="107">
        <f>IS!H16</f>
        <v>228.52500000000001</v>
      </c>
      <c r="P35" s="107">
        <f>IS!I16</f>
        <v>194.666</v>
      </c>
      <c r="Q35" s="107">
        <f>IS!J16</f>
        <v>134.54</v>
      </c>
      <c r="R35" s="107">
        <f>IS!K16</f>
        <v>130.1</v>
      </c>
      <c r="S35" s="107">
        <f>IS!L16</f>
        <v>114.1</v>
      </c>
      <c r="T35" s="107">
        <f>IS!M16</f>
        <v>110.2</v>
      </c>
    </row>
    <row r="36" spans="1:20" x14ac:dyDescent="0.2">
      <c r="A36" s="51" t="str">
        <f>IS!A17</f>
        <v>Amortization of Intangibles</v>
      </c>
      <c r="B36" s="108">
        <f t="shared" ref="B36:H36" si="10">C36*1.05</f>
        <v>2893.4472636610567</v>
      </c>
      <c r="C36" s="108">
        <f>D36*1.05</f>
        <v>2755.6640606295778</v>
      </c>
      <c r="D36" s="108">
        <f t="shared" si="10"/>
        <v>2624.4419625043597</v>
      </c>
      <c r="E36" s="108">
        <f t="shared" si="10"/>
        <v>2499.4685357184376</v>
      </c>
      <c r="F36" s="108">
        <f>G36*1.05</f>
        <v>2380.4462244937499</v>
      </c>
      <c r="G36" s="108">
        <f t="shared" si="10"/>
        <v>2267.091642375</v>
      </c>
      <c r="H36" s="108">
        <f t="shared" si="10"/>
        <v>2159.1348975000001</v>
      </c>
      <c r="I36" s="108">
        <f>J36*1.05</f>
        <v>2056.3189499999999</v>
      </c>
      <c r="J36" s="107">
        <f>IS!C17</f>
        <v>1958.3989999999999</v>
      </c>
      <c r="K36" s="107">
        <f>IS!D17</f>
        <v>2014.1610000000001</v>
      </c>
      <c r="L36" s="107">
        <f>IS!E17</f>
        <v>843.35900000000004</v>
      </c>
      <c r="M36" s="107">
        <f>IS!F17</f>
        <v>577.14800000000002</v>
      </c>
      <c r="N36" s="107">
        <f>IS!G17</f>
        <v>570.57399999999996</v>
      </c>
      <c r="O36" s="107">
        <f>IS!H17</f>
        <v>570.53800000000001</v>
      </c>
      <c r="P36" s="107">
        <f>IS!I17</f>
        <v>389.39299999999997</v>
      </c>
      <c r="Q36" s="107">
        <f>IS!J17</f>
        <v>75.25</v>
      </c>
      <c r="R36" s="107">
        <f>IS!K17</f>
        <v>92.093000000000004</v>
      </c>
      <c r="S36" s="107">
        <f>IS!L17</f>
        <v>27.9</v>
      </c>
      <c r="T36" s="107">
        <f>IS!M17</f>
        <v>0.22</v>
      </c>
    </row>
    <row r="37" spans="1:20" ht="14.3" thickBot="1" x14ac:dyDescent="0.3">
      <c r="A37" s="49" t="s">
        <v>304</v>
      </c>
      <c r="B37" s="59">
        <f>(B31*(1-B34))+B35+B36</f>
        <v>12349.044383595743</v>
      </c>
      <c r="C37" s="59">
        <f t="shared" ref="C37:T37" si="11">(C31*(1-C34))+C35+C36</f>
        <v>12137.408298455728</v>
      </c>
      <c r="D37" s="59">
        <f t="shared" si="11"/>
        <v>11228.978637308239</v>
      </c>
      <c r="E37" s="59">
        <f t="shared" si="11"/>
        <v>10390.281661508419</v>
      </c>
      <c r="F37" s="59">
        <f t="shared" si="11"/>
        <v>9398.6520404627863</v>
      </c>
      <c r="G37" s="59">
        <f t="shared" si="11"/>
        <v>8394.3382371306834</v>
      </c>
      <c r="H37" s="59">
        <f t="shared" si="11"/>
        <v>7502.4435190266813</v>
      </c>
      <c r="I37" s="59">
        <f t="shared" si="11"/>
        <v>6709.2640991536373</v>
      </c>
      <c r="J37" s="59">
        <f t="shared" si="11"/>
        <v>6179.9916548590027</v>
      </c>
      <c r="K37" s="52">
        <f t="shared" si="11"/>
        <v>5723.2516362546958</v>
      </c>
      <c r="L37" s="52">
        <f t="shared" si="11"/>
        <v>3005.598809394713</v>
      </c>
      <c r="M37" s="52">
        <f t="shared" si="11"/>
        <v>2358.630583076093</v>
      </c>
      <c r="N37" s="52">
        <f t="shared" si="11"/>
        <v>2572.9303302379458</v>
      </c>
      <c r="O37" s="52">
        <f t="shared" si="11"/>
        <v>2713.6155660719755</v>
      </c>
      <c r="P37" s="52">
        <f t="shared" si="11"/>
        <v>1731.8390975693994</v>
      </c>
      <c r="Q37" s="52">
        <f t="shared" si="11"/>
        <v>1231.1300472378484</v>
      </c>
      <c r="R37" s="52">
        <f t="shared" si="11"/>
        <v>1021.2844334568041</v>
      </c>
      <c r="S37" s="52">
        <f t="shared" si="11"/>
        <v>942.62058471229659</v>
      </c>
      <c r="T37" s="52">
        <f t="shared" si="11"/>
        <v>851.17907456005639</v>
      </c>
    </row>
    <row r="38" spans="1:20" ht="13.6" thickTop="1" x14ac:dyDescent="0.2">
      <c r="B38" s="50"/>
      <c r="T38">
        <v>1</v>
      </c>
    </row>
    <row r="39" spans="1:20" ht="13.6" x14ac:dyDescent="0.25">
      <c r="A39" s="77" t="s">
        <v>192</v>
      </c>
      <c r="B39" s="77" t="str">
        <f t="shared" ref="B39:T39" si="12">B29</f>
        <v>OCT '31</v>
      </c>
      <c r="C39" s="77" t="str">
        <f t="shared" si="12"/>
        <v>OCT '30</v>
      </c>
      <c r="D39" s="77" t="str">
        <f t="shared" si="12"/>
        <v>OCT '29</v>
      </c>
      <c r="E39" s="77" t="str">
        <f t="shared" si="12"/>
        <v>OCT '28</v>
      </c>
      <c r="F39" s="77" t="str">
        <f t="shared" si="12"/>
        <v>OCT '27</v>
      </c>
      <c r="G39" s="77" t="str">
        <f t="shared" si="12"/>
        <v>OCT '26</v>
      </c>
      <c r="H39" s="77" t="str">
        <f t="shared" si="12"/>
        <v>OCT '25</v>
      </c>
      <c r="I39" s="77" t="str">
        <f>I29</f>
        <v>OCT '24</v>
      </c>
      <c r="J39" s="77" t="str">
        <f t="shared" si="12"/>
        <v>OCT '23</v>
      </c>
      <c r="K39" s="77" t="str">
        <f t="shared" si="12"/>
        <v>OCT '22</v>
      </c>
      <c r="L39" s="77" t="str">
        <f t="shared" si="12"/>
        <v>OCT '21</v>
      </c>
      <c r="M39" s="77" t="str">
        <f t="shared" si="12"/>
        <v>OCT '20</v>
      </c>
      <c r="N39" s="77" t="str">
        <f t="shared" si="12"/>
        <v>OCT '19</v>
      </c>
      <c r="O39" s="77" t="str">
        <f t="shared" si="12"/>
        <v>OCT '18</v>
      </c>
      <c r="P39" s="77" t="str">
        <f t="shared" si="12"/>
        <v>OCT '17</v>
      </c>
      <c r="Q39" s="77" t="str">
        <f t="shared" si="12"/>
        <v>OCT '16</v>
      </c>
      <c r="R39" s="77" t="str">
        <f t="shared" si="12"/>
        <v>OCT '15</v>
      </c>
      <c r="S39" s="77" t="str">
        <f t="shared" si="12"/>
        <v>OCT '14</v>
      </c>
      <c r="T39" s="77" t="str">
        <f t="shared" si="12"/>
        <v>OCT '13</v>
      </c>
    </row>
    <row r="40" spans="1:20" x14ac:dyDescent="0.2">
      <c r="A40" s="4" t="str">
        <f>BS!A29</f>
        <v>Net Property, Plant &amp; Equipment</v>
      </c>
      <c r="B40" s="108">
        <f t="shared" ref="B40:H40" si="13">B41*B30</f>
        <v>7352.2029110726389</v>
      </c>
      <c r="C40" s="108">
        <f t="shared" si="13"/>
        <v>7103.577691857623</v>
      </c>
      <c r="D40" s="108">
        <f t="shared" si="13"/>
        <v>6517.0437539978184</v>
      </c>
      <c r="E40" s="108">
        <f t="shared" si="13"/>
        <v>5978.93922385121</v>
      </c>
      <c r="F40" s="108">
        <f t="shared" si="13"/>
        <v>5199.0775859575742</v>
      </c>
      <c r="G40" s="108">
        <f t="shared" si="13"/>
        <v>4520.9370312674564</v>
      </c>
      <c r="H40" s="108">
        <f t="shared" si="13"/>
        <v>3931.2495924064838</v>
      </c>
      <c r="I40" s="108">
        <f>I41*I30</f>
        <v>3418.4779064404211</v>
      </c>
      <c r="J40" s="107">
        <f>BS!B29</f>
        <v>3496.377</v>
      </c>
      <c r="K40" s="107">
        <f>BS!C29</f>
        <v>2664.3009999999999</v>
      </c>
      <c r="L40" s="107">
        <f>BS!D29</f>
        <v>2258.5929999999998</v>
      </c>
      <c r="M40" s="107">
        <f>BS!E29</f>
        <v>1377.1859999999999</v>
      </c>
      <c r="N40" s="107">
        <f>BS!F29</f>
        <v>1219.989</v>
      </c>
      <c r="O40" s="107">
        <f>BS!G29</f>
        <v>1154.328</v>
      </c>
      <c r="P40" s="107">
        <f>BS!H29</f>
        <v>1107.3040000000001</v>
      </c>
      <c r="Q40" s="107">
        <f>BS!I29</f>
        <v>636.11599999999999</v>
      </c>
      <c r="R40" s="107">
        <f>BS!J29</f>
        <v>644.11</v>
      </c>
      <c r="S40" s="107">
        <f>BS!K29</f>
        <v>622.42200000000003</v>
      </c>
      <c r="T40" s="107">
        <f>BS!L29</f>
        <v>508.17099999999999</v>
      </c>
    </row>
    <row r="41" spans="1:20" x14ac:dyDescent="0.2">
      <c r="A41" s="63" t="s">
        <v>322</v>
      </c>
      <c r="B41" s="101">
        <f t="shared" ref="B41:H41" si="14">AVERAGE($J$41:$O$41)</f>
        <v>0.24156515889805688</v>
      </c>
      <c r="C41" s="101">
        <f t="shared" si="14"/>
        <v>0.24156515889805688</v>
      </c>
      <c r="D41" s="101">
        <f t="shared" si="14"/>
        <v>0.24156515889805688</v>
      </c>
      <c r="E41" s="101">
        <f t="shared" si="14"/>
        <v>0.24156515889805688</v>
      </c>
      <c r="F41" s="101">
        <f t="shared" si="14"/>
        <v>0.24156515889805688</v>
      </c>
      <c r="G41" s="101">
        <f t="shared" si="14"/>
        <v>0.24156515889805688</v>
      </c>
      <c r="H41" s="101">
        <f t="shared" si="14"/>
        <v>0.24156515889805688</v>
      </c>
      <c r="I41" s="101">
        <f>AVERAGE($J$41:$O$41)</f>
        <v>0.24156515889805688</v>
      </c>
      <c r="J41" s="127">
        <f t="shared" ref="J41:S41" si="15">J40/J30</f>
        <v>0.28413034162908263</v>
      </c>
      <c r="K41" s="127">
        <f t="shared" si="15"/>
        <v>0.22176722349421543</v>
      </c>
      <c r="L41" s="127">
        <f t="shared" si="15"/>
        <v>0.30862322133898562</v>
      </c>
      <c r="M41" s="127">
        <f t="shared" si="15"/>
        <v>0.24579193925600601</v>
      </c>
      <c r="N41" s="127">
        <f t="shared" si="15"/>
        <v>0.20363474607603158</v>
      </c>
      <c r="O41" s="127">
        <f t="shared" si="15"/>
        <v>0.18544348159402019</v>
      </c>
      <c r="P41" s="127">
        <f t="shared" si="15"/>
        <v>0.21679948107715261</v>
      </c>
      <c r="Q41" s="127">
        <f t="shared" si="15"/>
        <v>0.18592223262404464</v>
      </c>
      <c r="R41" s="127">
        <f t="shared" si="15"/>
        <v>0.18750880616880131</v>
      </c>
      <c r="S41" s="127">
        <f t="shared" si="15"/>
        <v>0.21726747634105739</v>
      </c>
      <c r="T41" s="127">
        <f>T40/T30</f>
        <v>0.19295026861561862</v>
      </c>
    </row>
    <row r="42" spans="1:20" x14ac:dyDescent="0.2">
      <c r="A42" s="4" t="str">
        <f>A35</f>
        <v>Depreciation</v>
      </c>
      <c r="B42" s="108">
        <f>B35</f>
        <v>667.29344438271971</v>
      </c>
      <c r="C42" s="108">
        <f t="shared" ref="C42:T43" si="16">C35</f>
        <v>607.59242004479984</v>
      </c>
      <c r="D42" s="108">
        <f t="shared" si="16"/>
        <v>554.85610803199984</v>
      </c>
      <c r="E42" s="108">
        <f t="shared" si="16"/>
        <v>505.78508287999989</v>
      </c>
      <c r="F42" s="108">
        <f t="shared" si="16"/>
        <v>458.33985919999992</v>
      </c>
      <c r="G42" s="108">
        <f t="shared" si="16"/>
        <v>423.01532799999995</v>
      </c>
      <c r="H42" s="108">
        <f t="shared" si="16"/>
        <v>383.10752000000002</v>
      </c>
      <c r="I42" s="108">
        <f t="shared" si="16"/>
        <v>339.72679999999997</v>
      </c>
      <c r="J42" s="107">
        <f t="shared" si="16"/>
        <v>334.70400000000001</v>
      </c>
      <c r="K42" s="107">
        <f t="shared" si="16"/>
        <v>283.33800000000002</v>
      </c>
      <c r="L42" s="107">
        <f t="shared" si="16"/>
        <v>231.27500000000001</v>
      </c>
      <c r="M42" s="107">
        <f t="shared" si="16"/>
        <v>233.77500000000001</v>
      </c>
      <c r="N42" s="107">
        <f t="shared" si="16"/>
        <v>240.67699999999999</v>
      </c>
      <c r="O42" s="107">
        <f t="shared" si="16"/>
        <v>228.52500000000001</v>
      </c>
      <c r="P42" s="107">
        <f t="shared" si="16"/>
        <v>194.666</v>
      </c>
      <c r="Q42" s="107">
        <f t="shared" si="16"/>
        <v>134.54</v>
      </c>
      <c r="R42" s="107">
        <f t="shared" si="16"/>
        <v>130.1</v>
      </c>
      <c r="S42" s="107">
        <f t="shared" si="16"/>
        <v>114.1</v>
      </c>
      <c r="T42" s="107">
        <f t="shared" si="16"/>
        <v>110.2</v>
      </c>
    </row>
    <row r="43" spans="1:20" x14ac:dyDescent="0.2">
      <c r="A43" s="4" t="str">
        <f>A36</f>
        <v>Amortization of Intangibles</v>
      </c>
      <c r="B43" s="108">
        <f>B36</f>
        <v>2893.4472636610567</v>
      </c>
      <c r="C43" s="108">
        <f t="shared" si="16"/>
        <v>2755.6640606295778</v>
      </c>
      <c r="D43" s="108">
        <f t="shared" si="16"/>
        <v>2624.4419625043597</v>
      </c>
      <c r="E43" s="108">
        <f t="shared" si="16"/>
        <v>2499.4685357184376</v>
      </c>
      <c r="F43" s="108">
        <f t="shared" si="16"/>
        <v>2380.4462244937499</v>
      </c>
      <c r="G43" s="108">
        <f t="shared" si="16"/>
        <v>2267.091642375</v>
      </c>
      <c r="H43" s="108">
        <f t="shared" si="16"/>
        <v>2159.1348975000001</v>
      </c>
      <c r="I43" s="108">
        <f t="shared" si="16"/>
        <v>2056.3189499999999</v>
      </c>
      <c r="J43" s="107">
        <f t="shared" si="16"/>
        <v>1958.3989999999999</v>
      </c>
      <c r="K43" s="107">
        <f t="shared" si="16"/>
        <v>2014.1610000000001</v>
      </c>
      <c r="L43" s="107">
        <f t="shared" si="16"/>
        <v>843.35900000000004</v>
      </c>
      <c r="M43" s="107">
        <f t="shared" si="16"/>
        <v>577.14800000000002</v>
      </c>
      <c r="N43" s="107">
        <f t="shared" si="16"/>
        <v>570.57399999999996</v>
      </c>
      <c r="O43" s="107">
        <f t="shared" si="16"/>
        <v>570.53800000000001</v>
      </c>
      <c r="P43" s="107">
        <f t="shared" si="16"/>
        <v>389.39299999999997</v>
      </c>
      <c r="Q43" s="107">
        <f t="shared" si="16"/>
        <v>75.25</v>
      </c>
      <c r="R43" s="107">
        <f t="shared" si="16"/>
        <v>92.093000000000004</v>
      </c>
      <c r="S43" s="107">
        <f t="shared" si="16"/>
        <v>27.9</v>
      </c>
      <c r="T43" s="107">
        <f t="shared" si="16"/>
        <v>0.22</v>
      </c>
    </row>
    <row r="44" spans="1:20" ht="14.3" thickBot="1" x14ac:dyDescent="0.3">
      <c r="A44" s="49" t="s">
        <v>306</v>
      </c>
      <c r="B44" s="59">
        <f>(B40-C40)+(B42+B43)</f>
        <v>3809.3659272587925</v>
      </c>
      <c r="C44" s="59">
        <f>(C40-D40)+(C42+C43)</f>
        <v>3949.7904185341822</v>
      </c>
      <c r="D44" s="59">
        <f t="shared" ref="D44:S44" si="17">(D40-E40)+(D42+D43)</f>
        <v>3717.4026006829681</v>
      </c>
      <c r="E44" s="59">
        <f t="shared" si="17"/>
        <v>3785.1152564920731</v>
      </c>
      <c r="F44" s="59">
        <f>(F40-G40)+(F42+F43)</f>
        <v>3516.9266383838676</v>
      </c>
      <c r="G44" s="59">
        <f t="shared" si="17"/>
        <v>3279.7944092359726</v>
      </c>
      <c r="H44" s="59">
        <f t="shared" si="17"/>
        <v>3055.0141034660628</v>
      </c>
      <c r="I44" s="59">
        <f t="shared" si="17"/>
        <v>2318.1466564404209</v>
      </c>
      <c r="J44" s="59">
        <f t="shared" si="17"/>
        <v>3125.1790000000001</v>
      </c>
      <c r="K44" s="52">
        <f t="shared" si="17"/>
        <v>2703.2070000000003</v>
      </c>
      <c r="L44" s="52">
        <f t="shared" si="17"/>
        <v>1956.0409999999999</v>
      </c>
      <c r="M44" s="52">
        <f t="shared" si="17"/>
        <v>968.11999999999989</v>
      </c>
      <c r="N44" s="52">
        <f t="shared" si="17"/>
        <v>876.91200000000003</v>
      </c>
      <c r="O44" s="52">
        <f t="shared" si="17"/>
        <v>846.08699999999988</v>
      </c>
      <c r="P44" s="52">
        <f t="shared" si="17"/>
        <v>1055.2470000000001</v>
      </c>
      <c r="Q44" s="52">
        <f t="shared" si="17"/>
        <v>201.79599999999996</v>
      </c>
      <c r="R44" s="52">
        <f t="shared" si="17"/>
        <v>243.88099999999997</v>
      </c>
      <c r="S44" s="52">
        <f t="shared" si="17"/>
        <v>256.25100000000003</v>
      </c>
      <c r="T44" s="52"/>
    </row>
    <row r="45" spans="1:20" ht="13.6" thickTop="1" x14ac:dyDescent="0.2"/>
    <row r="46" spans="1:20" ht="13.6" x14ac:dyDescent="0.25">
      <c r="A46" s="77" t="s">
        <v>307</v>
      </c>
      <c r="B46" s="77" t="str">
        <f t="shared" ref="B46:T46" si="18">B39</f>
        <v>OCT '31</v>
      </c>
      <c r="C46" s="77" t="str">
        <f t="shared" si="18"/>
        <v>OCT '30</v>
      </c>
      <c r="D46" s="77" t="str">
        <f t="shared" si="18"/>
        <v>OCT '29</v>
      </c>
      <c r="E46" s="77" t="str">
        <f t="shared" si="18"/>
        <v>OCT '28</v>
      </c>
      <c r="F46" s="77" t="str">
        <f t="shared" si="18"/>
        <v>OCT '27</v>
      </c>
      <c r="G46" s="77" t="str">
        <f t="shared" si="18"/>
        <v>OCT '26</v>
      </c>
      <c r="H46" s="77" t="str">
        <f t="shared" si="18"/>
        <v>OCT '25</v>
      </c>
      <c r="I46" s="77" t="str">
        <f t="shared" si="18"/>
        <v>OCT '24</v>
      </c>
      <c r="J46" s="77" t="str">
        <f t="shared" si="18"/>
        <v>OCT '23</v>
      </c>
      <c r="K46" s="77" t="str">
        <f t="shared" si="18"/>
        <v>OCT '22</v>
      </c>
      <c r="L46" s="77" t="str">
        <f t="shared" si="18"/>
        <v>OCT '21</v>
      </c>
      <c r="M46" s="77" t="str">
        <f t="shared" si="18"/>
        <v>OCT '20</v>
      </c>
      <c r="N46" s="77" t="str">
        <f t="shared" si="18"/>
        <v>OCT '19</v>
      </c>
      <c r="O46" s="77" t="str">
        <f t="shared" si="18"/>
        <v>OCT '18</v>
      </c>
      <c r="P46" s="77" t="str">
        <f t="shared" si="18"/>
        <v>OCT '17</v>
      </c>
      <c r="Q46" s="77" t="str">
        <f t="shared" si="18"/>
        <v>OCT '16</v>
      </c>
      <c r="R46" s="77" t="str">
        <f t="shared" si="18"/>
        <v>OCT '15</v>
      </c>
      <c r="S46" s="77" t="str">
        <f t="shared" si="18"/>
        <v>OCT '14</v>
      </c>
      <c r="T46" s="77" t="str">
        <f t="shared" si="18"/>
        <v>OCT '13</v>
      </c>
    </row>
    <row r="47" spans="1:20" x14ac:dyDescent="0.2">
      <c r="A47" s="56" t="s">
        <v>308</v>
      </c>
    </row>
    <row r="48" spans="1:20" x14ac:dyDescent="0.2">
      <c r="A48" s="51" t="str">
        <f>BS!A12</f>
        <v>Cash &amp; Short-Term Investments</v>
      </c>
      <c r="B48" s="108">
        <f t="shared" ref="B48:I51" si="19">AVERAGE(C48:E48)*1.1</f>
        <v>1976.5469544123005</v>
      </c>
      <c r="C48" s="108">
        <f t="shared" si="19"/>
        <v>1897.4136949044232</v>
      </c>
      <c r="D48" s="108">
        <f t="shared" si="19"/>
        <v>1787.4305838749622</v>
      </c>
      <c r="E48" s="108">
        <f t="shared" si="19"/>
        <v>1705.7383241632513</v>
      </c>
      <c r="F48" s="108">
        <f t="shared" si="19"/>
        <v>1681.5957144283955</v>
      </c>
      <c r="G48" s="108">
        <f t="shared" si="19"/>
        <v>1487.4766447037039</v>
      </c>
      <c r="H48" s="108">
        <f t="shared" si="19"/>
        <v>1482.9412522222224</v>
      </c>
      <c r="I48" s="108">
        <f>AVERAGE(J48:L48)*1.1</f>
        <v>1615.7522333333334</v>
      </c>
      <c r="J48" s="107">
        <f>BS!B12</f>
        <v>958.06100000000004</v>
      </c>
      <c r="K48" s="107">
        <f>BS!C12</f>
        <v>1470.5719999999999</v>
      </c>
      <c r="L48" s="107">
        <f>BS!D12</f>
        <v>1977.9639999999999</v>
      </c>
      <c r="M48" s="107">
        <f>BS!E12</f>
        <v>1055.8599999999999</v>
      </c>
      <c r="N48" s="107">
        <f>BS!F12</f>
        <v>648.322</v>
      </c>
      <c r="O48" s="107">
        <f>BS!G12</f>
        <v>816.59100000000001</v>
      </c>
      <c r="P48" s="107">
        <f>BS!H12</f>
        <v>1047.838</v>
      </c>
      <c r="Q48" s="107">
        <f>BS!I12</f>
        <v>4055.7930000000001</v>
      </c>
      <c r="R48" s="107">
        <f>BS!J12</f>
        <v>3028.9279999999999</v>
      </c>
      <c r="S48" s="107">
        <f>BS!K12</f>
        <v>2866.4679999999998</v>
      </c>
      <c r="T48" s="107">
        <f>BS!L12</f>
        <v>4682.9120000000003</v>
      </c>
    </row>
    <row r="49" spans="1:20" x14ac:dyDescent="0.2">
      <c r="A49" s="51" t="str">
        <f>BS!A15</f>
        <v>Short-Term Receivables</v>
      </c>
      <c r="B49" s="108">
        <f t="shared" si="19"/>
        <v>2394.8108120129655</v>
      </c>
      <c r="C49" s="108">
        <f t="shared" si="19"/>
        <v>2285.140425009547</v>
      </c>
      <c r="D49" s="108">
        <f t="shared" si="19"/>
        <v>2167.7296423032822</v>
      </c>
      <c r="E49" s="108">
        <f t="shared" si="19"/>
        <v>2078.4321472679844</v>
      </c>
      <c r="F49" s="108">
        <f t="shared" si="19"/>
        <v>1986.0393695456796</v>
      </c>
      <c r="G49" s="108">
        <f t="shared" si="19"/>
        <v>1847.5184167407413</v>
      </c>
      <c r="H49" s="108">
        <f t="shared" si="19"/>
        <v>1834.8935244444447</v>
      </c>
      <c r="I49" s="108">
        <f t="shared" si="19"/>
        <v>1734.0590666666671</v>
      </c>
      <c r="J49" s="107">
        <f>BS!B15</f>
        <v>1469.7339999999999</v>
      </c>
      <c r="K49" s="107">
        <f>BS!C15</f>
        <v>1800.462</v>
      </c>
      <c r="L49" s="107">
        <f>BS!D15</f>
        <v>1459.056</v>
      </c>
      <c r="M49" s="107">
        <f>BS!E15</f>
        <v>737.53599999999994</v>
      </c>
      <c r="N49" s="107">
        <f>BS!F15</f>
        <v>635.13599999999997</v>
      </c>
      <c r="O49" s="107">
        <f>BS!G15</f>
        <v>639.71699999999998</v>
      </c>
      <c r="P49" s="107">
        <f>BS!H15</f>
        <v>688.95299999999997</v>
      </c>
      <c r="Q49" s="107">
        <f>BS!I15</f>
        <v>477.60899999999998</v>
      </c>
      <c r="R49" s="107">
        <f>BS!J15</f>
        <v>466.52699999999999</v>
      </c>
      <c r="S49" s="107">
        <f>BS!K15</f>
        <v>396.60500000000002</v>
      </c>
      <c r="T49" s="107">
        <f>BS!L15</f>
        <v>325.14400000000001</v>
      </c>
    </row>
    <row r="50" spans="1:20" x14ac:dyDescent="0.2">
      <c r="A50" s="51" t="str">
        <f>BS!A19</f>
        <v>Inventories</v>
      </c>
      <c r="B50" s="108">
        <f t="shared" si="19"/>
        <v>2252.475446334407</v>
      </c>
      <c r="C50" s="108">
        <f t="shared" si="19"/>
        <v>2143.1938928179493</v>
      </c>
      <c r="D50" s="108">
        <f t="shared" si="19"/>
        <v>2048.6240146526998</v>
      </c>
      <c r="E50" s="108">
        <f t="shared" si="19"/>
        <v>1951.2969461686425</v>
      </c>
      <c r="F50" s="108">
        <f t="shared" si="19"/>
        <v>1845.1532923185189</v>
      </c>
      <c r="G50" s="108">
        <f t="shared" si="19"/>
        <v>1790.7061651111112</v>
      </c>
      <c r="H50" s="108">
        <f t="shared" si="19"/>
        <v>1685.8594866666667</v>
      </c>
      <c r="I50" s="108">
        <f t="shared" si="19"/>
        <v>1555.6705999999999</v>
      </c>
      <c r="J50" s="107">
        <f>BS!B19</f>
        <v>1642.2139999999999</v>
      </c>
      <c r="K50" s="107">
        <f>BS!C19</f>
        <v>1399.914</v>
      </c>
      <c r="L50" s="107">
        <f>BS!D19</f>
        <v>1200.6099999999999</v>
      </c>
      <c r="M50" s="107">
        <f>BS!E19</f>
        <v>608.26</v>
      </c>
      <c r="N50" s="107">
        <f>BS!F19</f>
        <v>609.88599999999997</v>
      </c>
      <c r="O50" s="107">
        <f>BS!G19</f>
        <v>586.76</v>
      </c>
      <c r="P50" s="107">
        <f>BS!H19</f>
        <v>550.81600000000003</v>
      </c>
      <c r="Q50" s="107">
        <f>BS!I19</f>
        <v>376.55500000000001</v>
      </c>
      <c r="R50" s="107">
        <f>BS!J19</f>
        <v>412.31400000000002</v>
      </c>
      <c r="S50" s="107">
        <f>BS!K19</f>
        <v>367.92700000000002</v>
      </c>
      <c r="T50" s="107">
        <f>BS!L19</f>
        <v>283.33699999999999</v>
      </c>
    </row>
    <row r="51" spans="1:20" x14ac:dyDescent="0.2">
      <c r="A51" s="51" t="str">
        <f>BS!A23</f>
        <v>Other Current Assets</v>
      </c>
      <c r="B51" s="110">
        <f t="shared" si="19"/>
        <v>561.53797641133599</v>
      </c>
      <c r="C51" s="110">
        <f t="shared" si="19"/>
        <v>539.9000123664398</v>
      </c>
      <c r="D51" s="110">
        <f t="shared" si="19"/>
        <v>512.05557683000563</v>
      </c>
      <c r="E51" s="110">
        <f t="shared" si="19"/>
        <v>479.51161919810716</v>
      </c>
      <c r="F51" s="110">
        <f t="shared" si="19"/>
        <v>480.8873831530866</v>
      </c>
      <c r="G51" s="110">
        <f t="shared" si="19"/>
        <v>436.11620718518526</v>
      </c>
      <c r="H51" s="110">
        <f t="shared" si="19"/>
        <v>390.75537111111117</v>
      </c>
      <c r="I51" s="110">
        <f t="shared" si="19"/>
        <v>484.63946666666675</v>
      </c>
      <c r="J51" s="109">
        <f>BS!B23</f>
        <v>314.01299999999998</v>
      </c>
      <c r="K51" s="109">
        <f>BS!C23</f>
        <v>267.04399999999998</v>
      </c>
      <c r="L51" s="109">
        <f>BS!D23</f>
        <v>740.68700000000001</v>
      </c>
      <c r="M51" s="109">
        <f>BS!E23</f>
        <v>116.032</v>
      </c>
      <c r="N51" s="109">
        <f>BS!F23</f>
        <v>91.781999999999996</v>
      </c>
      <c r="O51" s="109">
        <f>BS!G23</f>
        <v>69.058000000000007</v>
      </c>
      <c r="P51" s="109">
        <f>BS!H23</f>
        <v>63.731000000000002</v>
      </c>
      <c r="Q51" s="109">
        <f>BS!I23</f>
        <v>64.906000000000006</v>
      </c>
      <c r="R51" s="109">
        <f>BS!J23</f>
        <v>171.779</v>
      </c>
      <c r="S51" s="109">
        <f>BS!K23</f>
        <v>180.886</v>
      </c>
      <c r="T51" s="109">
        <f>BS!L23</f>
        <v>181.03200000000001</v>
      </c>
    </row>
    <row r="52" spans="1:20" x14ac:dyDescent="0.2">
      <c r="A52" s="4" t="str">
        <f>BS!A26</f>
        <v>Total Current Assets</v>
      </c>
      <c r="B52" s="108">
        <f t="shared" ref="B52" si="20">SUM(B48:B51)</f>
        <v>7185.3711891710091</v>
      </c>
      <c r="C52" s="108">
        <f t="shared" ref="C52:T52" si="21">SUM(C48:C51)</f>
        <v>6865.6480250983595</v>
      </c>
      <c r="D52" s="108">
        <f t="shared" si="21"/>
        <v>6515.8398176609498</v>
      </c>
      <c r="E52" s="108">
        <f t="shared" si="21"/>
        <v>6214.9790367979849</v>
      </c>
      <c r="F52" s="108">
        <f t="shared" si="21"/>
        <v>5993.6757594456803</v>
      </c>
      <c r="G52" s="108">
        <f t="shared" si="21"/>
        <v>5561.8174337407418</v>
      </c>
      <c r="H52" s="108">
        <f t="shared" si="21"/>
        <v>5394.4496344444451</v>
      </c>
      <c r="I52" s="108">
        <f t="shared" si="21"/>
        <v>5390.1213666666672</v>
      </c>
      <c r="J52" s="107">
        <f t="shared" si="21"/>
        <v>4384.0219999999999</v>
      </c>
      <c r="K52" s="107">
        <f t="shared" si="21"/>
        <v>4937.9919999999993</v>
      </c>
      <c r="L52" s="107">
        <f t="shared" si="21"/>
        <v>5378.317</v>
      </c>
      <c r="M52" s="107">
        <f t="shared" si="21"/>
        <v>2517.6880000000001</v>
      </c>
      <c r="N52" s="107">
        <f t="shared" si="21"/>
        <v>1985.126</v>
      </c>
      <c r="O52" s="107">
        <f t="shared" si="21"/>
        <v>2112.1260000000002</v>
      </c>
      <c r="P52" s="107">
        <f t="shared" si="21"/>
        <v>2351.3380000000002</v>
      </c>
      <c r="Q52" s="107">
        <f t="shared" si="21"/>
        <v>4974.8630000000003</v>
      </c>
      <c r="R52" s="107">
        <f t="shared" si="21"/>
        <v>4079.5479999999998</v>
      </c>
      <c r="S52" s="107">
        <f t="shared" si="21"/>
        <v>3811.886</v>
      </c>
      <c r="T52" s="107">
        <f t="shared" si="21"/>
        <v>5472.4250000000002</v>
      </c>
    </row>
    <row r="53" spans="1:20" x14ac:dyDescent="0.2">
      <c r="A53" s="55" t="s">
        <v>309</v>
      </c>
      <c r="B53" s="108"/>
      <c r="C53" s="108"/>
      <c r="D53" s="108"/>
      <c r="E53" s="108"/>
      <c r="F53" s="108"/>
      <c r="G53" s="108"/>
      <c r="H53" s="108"/>
      <c r="I53" s="108"/>
      <c r="J53" s="95"/>
      <c r="K53" s="95"/>
      <c r="L53" s="95"/>
      <c r="M53" s="95"/>
      <c r="N53" s="95"/>
      <c r="O53" s="95"/>
      <c r="P53" s="95"/>
      <c r="Q53" s="95"/>
      <c r="R53" s="95"/>
      <c r="S53" s="95"/>
      <c r="T53" s="95"/>
    </row>
    <row r="54" spans="1:20" x14ac:dyDescent="0.2">
      <c r="A54" s="51" t="str">
        <f>BS!A50</f>
        <v>Accounts Payable</v>
      </c>
      <c r="B54" s="108">
        <f t="shared" ref="B54:I57" si="22">AVERAGE(C54:E54)*1.1</f>
        <v>780.38830318513919</v>
      </c>
      <c r="C54" s="108">
        <f t="shared" si="22"/>
        <v>744.11635195464874</v>
      </c>
      <c r="D54" s="108">
        <f t="shared" si="22"/>
        <v>706.62386314206458</v>
      </c>
      <c r="E54" s="108">
        <f t="shared" si="22"/>
        <v>677.59152086275731</v>
      </c>
      <c r="F54" s="108">
        <f t="shared" si="22"/>
        <v>645.19284859876552</v>
      </c>
      <c r="G54" s="108">
        <f t="shared" si="22"/>
        <v>604.37162092592598</v>
      </c>
      <c r="H54" s="108">
        <f t="shared" si="22"/>
        <v>598.41240555555555</v>
      </c>
      <c r="I54" s="108">
        <f t="shared" si="22"/>
        <v>556.83283333333338</v>
      </c>
      <c r="J54" s="107">
        <f>BS!B50</f>
        <v>493.041</v>
      </c>
      <c r="K54" s="107">
        <f>BS!C50</f>
        <v>582.16</v>
      </c>
      <c r="L54" s="107">
        <f>BS!D50</f>
        <v>443.43400000000003</v>
      </c>
      <c r="M54" s="107">
        <f>BS!E50</f>
        <v>227.273</v>
      </c>
      <c r="N54" s="107">
        <f>BS!F50</f>
        <v>225.27</v>
      </c>
      <c r="O54" s="107">
        <f>BS!G50</f>
        <v>260.91899999999998</v>
      </c>
      <c r="P54" s="107">
        <f>BS!H50</f>
        <v>236.62899999999999</v>
      </c>
      <c r="Q54" s="107">
        <f>BS!I50</f>
        <v>171.43899999999999</v>
      </c>
      <c r="R54" s="107">
        <f>BS!J50</f>
        <v>174.24700000000001</v>
      </c>
      <c r="S54" s="107">
        <f>BS!K50</f>
        <v>138.96700000000001</v>
      </c>
      <c r="T54" s="107">
        <f>BS!L50</f>
        <v>119.994</v>
      </c>
    </row>
    <row r="55" spans="1:20" x14ac:dyDescent="0.2">
      <c r="A55" s="51" t="str">
        <f>BS!A51</f>
        <v>Income Tax Payable</v>
      </c>
      <c r="B55" s="108">
        <f t="shared" si="22"/>
        <v>491.58935488362698</v>
      </c>
      <c r="C55" s="108">
        <f t="shared" si="22"/>
        <v>468.5912947534519</v>
      </c>
      <c r="D55" s="108">
        <f t="shared" si="22"/>
        <v>447.43204086747608</v>
      </c>
      <c r="E55" s="108">
        <f t="shared" si="22"/>
        <v>424.67490497078194</v>
      </c>
      <c r="F55" s="108">
        <f t="shared" si="22"/>
        <v>405.86931258024697</v>
      </c>
      <c r="G55" s="108">
        <f t="shared" si="22"/>
        <v>389.72498481481483</v>
      </c>
      <c r="H55" s="108">
        <f t="shared" si="22"/>
        <v>362.60998888888889</v>
      </c>
      <c r="I55" s="108">
        <f t="shared" si="22"/>
        <v>354.5813333333333</v>
      </c>
      <c r="J55" s="107">
        <f>BS!B51</f>
        <v>345.69499999999999</v>
      </c>
      <c r="K55" s="107">
        <f>BS!C51</f>
        <v>288.66000000000003</v>
      </c>
      <c r="L55" s="107">
        <f>BS!D51</f>
        <v>332.685</v>
      </c>
      <c r="M55" s="107">
        <f>BS!E51</f>
        <v>182.08</v>
      </c>
      <c r="N55" s="107">
        <f>BS!F51</f>
        <v>187.87899999999999</v>
      </c>
      <c r="O55" s="107">
        <f>BS!G51</f>
        <v>93.721999999999994</v>
      </c>
      <c r="P55" s="107">
        <f>BS!H51</f>
        <v>86.905000000000001</v>
      </c>
      <c r="Q55" s="107">
        <f>BS!I51</f>
        <v>4.0999999999999996</v>
      </c>
      <c r="R55" s="107">
        <f>BS!J51</f>
        <v>15.061999999999999</v>
      </c>
      <c r="S55" s="107">
        <f>BS!K51</f>
        <v>62.77</v>
      </c>
      <c r="T55" s="107">
        <f>BS!L51</f>
        <v>45.49</v>
      </c>
    </row>
    <row r="56" spans="1:20" x14ac:dyDescent="0.2">
      <c r="A56" s="51" t="str">
        <f>BS!A53</f>
        <v>Accrued Payroll</v>
      </c>
      <c r="B56" s="108">
        <f t="shared" si="22"/>
        <v>566.49439729406947</v>
      </c>
      <c r="C56" s="108">
        <f t="shared" si="22"/>
        <v>541.57903129541978</v>
      </c>
      <c r="D56" s="108">
        <f t="shared" si="22"/>
        <v>511.42628222609756</v>
      </c>
      <c r="E56" s="108">
        <f t="shared" si="22"/>
        <v>491.97940637139936</v>
      </c>
      <c r="F56" s="108">
        <f t="shared" si="22"/>
        <v>473.62803311728413</v>
      </c>
      <c r="G56" s="108">
        <f t="shared" si="22"/>
        <v>429.19151203703711</v>
      </c>
      <c r="H56" s="108">
        <f t="shared" si="22"/>
        <v>438.94247222222231</v>
      </c>
      <c r="I56" s="108">
        <f t="shared" si="22"/>
        <v>423.57883333333342</v>
      </c>
      <c r="J56" s="107">
        <f>BS!B53</f>
        <v>308.00099999999998</v>
      </c>
      <c r="K56" s="107">
        <f>BS!C53</f>
        <v>465.536</v>
      </c>
      <c r="L56" s="107">
        <f>BS!D53</f>
        <v>381.678</v>
      </c>
      <c r="M56" s="107">
        <f>BS!E53</f>
        <v>163.75200000000001</v>
      </c>
      <c r="N56" s="107">
        <f>BS!F53</f>
        <v>168.471</v>
      </c>
      <c r="O56" s="107">
        <f>BS!G53</f>
        <v>254.93199999999999</v>
      </c>
      <c r="P56" s="107">
        <f>BS!H53</f>
        <v>271.32100000000003</v>
      </c>
      <c r="Q56" s="107">
        <f>BS!I53</f>
        <v>112.003</v>
      </c>
      <c r="R56" s="107">
        <f>BS!J53</f>
        <v>125.5</v>
      </c>
      <c r="S56" s="107">
        <f>BS!K53</f>
        <v>101.307</v>
      </c>
      <c r="T56" s="107">
        <f>BS!L53</f>
        <v>71.093999999999994</v>
      </c>
    </row>
    <row r="57" spans="1:20" x14ac:dyDescent="0.2">
      <c r="A57" s="51" t="str">
        <f>BS!A54</f>
        <v>Miscellaneous Current Liabilities</v>
      </c>
      <c r="B57" s="110">
        <f t="shared" si="22"/>
        <v>1511.7212565152809</v>
      </c>
      <c r="C57" s="110">
        <f t="shared" si="22"/>
        <v>1443.3024081210881</v>
      </c>
      <c r="D57" s="110">
        <f t="shared" si="22"/>
        <v>1370.6743403415369</v>
      </c>
      <c r="E57" s="110">
        <f t="shared" si="22"/>
        <v>1308.8994056699594</v>
      </c>
      <c r="F57" s="110">
        <f t="shared" si="22"/>
        <v>1256.7055488641979</v>
      </c>
      <c r="G57" s="110">
        <f t="shared" si="22"/>
        <v>1172.597791851852</v>
      </c>
      <c r="H57" s="110">
        <f t="shared" si="22"/>
        <v>1140.4223111111114</v>
      </c>
      <c r="I57" s="110">
        <f t="shared" si="22"/>
        <v>1114.3586666666667</v>
      </c>
      <c r="J57" s="109">
        <f>BS!B54</f>
        <v>943.21299999999997</v>
      </c>
      <c r="K57" s="109">
        <f>BS!C54</f>
        <v>1052.671</v>
      </c>
      <c r="L57" s="109">
        <f>BS!D54</f>
        <v>1043.2760000000001</v>
      </c>
      <c r="M57" s="109">
        <f>BS!E54</f>
        <v>751.95799999999997</v>
      </c>
      <c r="N57" s="109">
        <f>BS!F54</f>
        <v>627.34500000000003</v>
      </c>
      <c r="O57" s="109">
        <f>BS!G54</f>
        <v>375.17500000000001</v>
      </c>
      <c r="P57" s="109">
        <f>BS!H54</f>
        <v>701.47699999999998</v>
      </c>
      <c r="Q57" s="109">
        <f>BS!I54</f>
        <v>495.392</v>
      </c>
      <c r="R57" s="109">
        <f>BS!J54</f>
        <v>424.18200000000002</v>
      </c>
      <c r="S57" s="109">
        <f>BS!K54</f>
        <v>406.012</v>
      </c>
      <c r="T57" s="109">
        <f>BS!L54</f>
        <v>333.93400000000003</v>
      </c>
    </row>
    <row r="58" spans="1:20" x14ac:dyDescent="0.2">
      <c r="A58" t="s">
        <v>313</v>
      </c>
      <c r="B58" s="108">
        <f t="shared" ref="B58:H58" si="23">SUM(B54:B57)</f>
        <v>3350.1933118781167</v>
      </c>
      <c r="C58" s="108">
        <f t="shared" si="23"/>
        <v>3197.5890861246085</v>
      </c>
      <c r="D58" s="108">
        <f t="shared" si="23"/>
        <v>3036.1565265771751</v>
      </c>
      <c r="E58" s="108">
        <f t="shared" si="23"/>
        <v>2903.1452378748982</v>
      </c>
      <c r="F58" s="108">
        <f t="shared" si="23"/>
        <v>2781.3957431604945</v>
      </c>
      <c r="G58" s="108">
        <f t="shared" si="23"/>
        <v>2595.8859096296301</v>
      </c>
      <c r="H58" s="108">
        <f t="shared" si="23"/>
        <v>2540.3871777777781</v>
      </c>
      <c r="I58" s="108">
        <f>SUM(I54:I57)</f>
        <v>2449.3516666666669</v>
      </c>
      <c r="J58" s="107">
        <f>SUM(J54:J57)</f>
        <v>2089.9499999999998</v>
      </c>
      <c r="K58" s="107">
        <f t="shared" ref="K58:T58" si="24">SUM(K54:K57)</f>
        <v>2389.027</v>
      </c>
      <c r="L58" s="107">
        <f t="shared" si="24"/>
        <v>2201.0730000000003</v>
      </c>
      <c r="M58" s="107">
        <f t="shared" si="24"/>
        <v>1325.0630000000001</v>
      </c>
      <c r="N58" s="107">
        <f t="shared" si="24"/>
        <v>1208.9650000000001</v>
      </c>
      <c r="O58" s="107">
        <f t="shared" si="24"/>
        <v>984.74800000000005</v>
      </c>
      <c r="P58" s="107">
        <f t="shared" si="24"/>
        <v>1296.3319999999999</v>
      </c>
      <c r="Q58" s="107">
        <f t="shared" si="24"/>
        <v>782.93399999999997</v>
      </c>
      <c r="R58" s="107">
        <f t="shared" si="24"/>
        <v>738.99099999999999</v>
      </c>
      <c r="S58" s="107">
        <f t="shared" si="24"/>
        <v>709.05600000000004</v>
      </c>
      <c r="T58" s="107">
        <f t="shared" si="24"/>
        <v>570.51200000000006</v>
      </c>
    </row>
    <row r="59" spans="1:20" x14ac:dyDescent="0.2">
      <c r="A59" t="s">
        <v>311</v>
      </c>
      <c r="B59" s="108">
        <f>B52-B58</f>
        <v>3835.1778772928924</v>
      </c>
      <c r="C59" s="108">
        <f t="shared" ref="C59:T59" si="25">C52-C58</f>
        <v>3668.0589389737511</v>
      </c>
      <c r="D59" s="108">
        <f t="shared" si="25"/>
        <v>3479.6832910837747</v>
      </c>
      <c r="E59" s="108">
        <f t="shared" si="25"/>
        <v>3311.8337989230868</v>
      </c>
      <c r="F59" s="108">
        <f t="shared" si="25"/>
        <v>3212.2800162851859</v>
      </c>
      <c r="G59" s="108">
        <f t="shared" si="25"/>
        <v>2965.9315241111117</v>
      </c>
      <c r="H59" s="108">
        <f t="shared" si="25"/>
        <v>2854.062456666667</v>
      </c>
      <c r="I59" s="108">
        <f t="shared" si="25"/>
        <v>2940.7697000000003</v>
      </c>
      <c r="J59" s="107">
        <f t="shared" si="25"/>
        <v>2294.0720000000001</v>
      </c>
      <c r="K59" s="107">
        <f t="shared" si="25"/>
        <v>2548.9649999999992</v>
      </c>
      <c r="L59" s="107">
        <f t="shared" si="25"/>
        <v>3177.2439999999997</v>
      </c>
      <c r="M59" s="107">
        <f t="shared" si="25"/>
        <v>1192.625</v>
      </c>
      <c r="N59" s="107">
        <f t="shared" si="25"/>
        <v>776.16099999999983</v>
      </c>
      <c r="O59" s="107">
        <f t="shared" si="25"/>
        <v>1127.3780000000002</v>
      </c>
      <c r="P59" s="107">
        <f t="shared" si="25"/>
        <v>1055.0060000000003</v>
      </c>
      <c r="Q59" s="107">
        <f t="shared" si="25"/>
        <v>4191.9290000000001</v>
      </c>
      <c r="R59" s="107">
        <f t="shared" si="25"/>
        <v>3340.5569999999998</v>
      </c>
      <c r="S59" s="107">
        <f t="shared" si="25"/>
        <v>3102.83</v>
      </c>
      <c r="T59" s="107">
        <f t="shared" si="25"/>
        <v>4901.9130000000005</v>
      </c>
    </row>
    <row r="60" spans="1:20" ht="14.3" thickBot="1" x14ac:dyDescent="0.3">
      <c r="A60" s="49" t="s">
        <v>310</v>
      </c>
      <c r="B60" s="59">
        <f>B59-C59</f>
        <v>167.11893831914131</v>
      </c>
      <c r="C60" s="59">
        <f>C59-D59</f>
        <v>188.37564788997634</v>
      </c>
      <c r="D60" s="59">
        <f t="shared" ref="D60:G60" si="26">D59-E59</f>
        <v>167.84949216068799</v>
      </c>
      <c r="E60" s="59">
        <f t="shared" si="26"/>
        <v>99.553782637900895</v>
      </c>
      <c r="F60" s="59">
        <f>F59-G59</f>
        <v>246.34849217407418</v>
      </c>
      <c r="G60" s="59">
        <f t="shared" si="26"/>
        <v>111.86906744444468</v>
      </c>
      <c r="H60" s="59">
        <f>H59-I59</f>
        <v>-86.707243333333281</v>
      </c>
      <c r="I60" s="59">
        <f>I59-J59</f>
        <v>646.69770000000017</v>
      </c>
      <c r="J60" s="59">
        <f>J59-K59</f>
        <v>-254.89299999999912</v>
      </c>
      <c r="K60" s="52">
        <f t="shared" ref="K60:S60" si="27">K59-L59</f>
        <v>-628.27900000000045</v>
      </c>
      <c r="L60" s="52">
        <f t="shared" si="27"/>
        <v>1984.6189999999997</v>
      </c>
      <c r="M60" s="52">
        <f t="shared" si="27"/>
        <v>416.46400000000017</v>
      </c>
      <c r="N60" s="52">
        <f t="shared" si="27"/>
        <v>-351.21700000000033</v>
      </c>
      <c r="O60" s="52">
        <f t="shared" si="27"/>
        <v>72.371999999999844</v>
      </c>
      <c r="P60" s="52">
        <f t="shared" si="27"/>
        <v>-3136.9229999999998</v>
      </c>
      <c r="Q60" s="52">
        <f t="shared" si="27"/>
        <v>851.3720000000003</v>
      </c>
      <c r="R60" s="52">
        <f t="shared" si="27"/>
        <v>237.72699999999986</v>
      </c>
      <c r="S60" s="52">
        <f t="shared" si="27"/>
        <v>-1799.0830000000005</v>
      </c>
      <c r="T60" s="52"/>
    </row>
    <row r="61" spans="1:20" ht="13.6" thickTop="1" x14ac:dyDescent="0.2"/>
    <row r="62" spans="1:20" ht="13.6" x14ac:dyDescent="0.25">
      <c r="A62" s="77" t="s">
        <v>164</v>
      </c>
      <c r="B62" s="77" t="str">
        <f t="shared" ref="B62:T62" si="28">B46</f>
        <v>OCT '31</v>
      </c>
      <c r="C62" s="77" t="str">
        <f t="shared" si="28"/>
        <v>OCT '30</v>
      </c>
      <c r="D62" s="77" t="str">
        <f t="shared" si="28"/>
        <v>OCT '29</v>
      </c>
      <c r="E62" s="77" t="str">
        <f t="shared" si="28"/>
        <v>OCT '28</v>
      </c>
      <c r="F62" s="77" t="str">
        <f t="shared" si="28"/>
        <v>OCT '27</v>
      </c>
      <c r="G62" s="77" t="str">
        <f t="shared" si="28"/>
        <v>OCT '26</v>
      </c>
      <c r="H62" s="77" t="str">
        <f t="shared" si="28"/>
        <v>OCT '25</v>
      </c>
      <c r="I62" s="77" t="str">
        <f t="shared" si="28"/>
        <v>OCT '24</v>
      </c>
      <c r="J62" s="77" t="str">
        <f t="shared" si="28"/>
        <v>OCT '23</v>
      </c>
      <c r="K62" s="77" t="str">
        <f t="shared" si="28"/>
        <v>OCT '22</v>
      </c>
      <c r="L62" s="77" t="str">
        <f t="shared" si="28"/>
        <v>OCT '21</v>
      </c>
      <c r="M62" s="77" t="str">
        <f t="shared" si="28"/>
        <v>OCT '20</v>
      </c>
      <c r="N62" s="77" t="str">
        <f t="shared" si="28"/>
        <v>OCT '19</v>
      </c>
      <c r="O62" s="77" t="str">
        <f t="shared" si="28"/>
        <v>OCT '18</v>
      </c>
      <c r="P62" s="77" t="str">
        <f t="shared" si="28"/>
        <v>OCT '17</v>
      </c>
      <c r="Q62" s="77" t="str">
        <f t="shared" si="28"/>
        <v>OCT '16</v>
      </c>
      <c r="R62" s="77" t="str">
        <f t="shared" si="28"/>
        <v>OCT '15</v>
      </c>
      <c r="S62" s="77" t="str">
        <f t="shared" si="28"/>
        <v>OCT '14</v>
      </c>
      <c r="T62" s="77" t="str">
        <f t="shared" si="28"/>
        <v>OCT '13</v>
      </c>
    </row>
    <row r="63" spans="1:20" x14ac:dyDescent="0.2">
      <c r="A63" s="58" t="str">
        <f>A37</f>
        <v>NOPAT</v>
      </c>
      <c r="B63" s="57">
        <f t="shared" ref="B63:T63" si="29">B37</f>
        <v>12349.044383595743</v>
      </c>
      <c r="C63" s="57">
        <f t="shared" si="29"/>
        <v>12137.408298455728</v>
      </c>
      <c r="D63" s="57">
        <f t="shared" si="29"/>
        <v>11228.978637308239</v>
      </c>
      <c r="E63" s="57">
        <f t="shared" si="29"/>
        <v>10390.281661508419</v>
      </c>
      <c r="F63" s="57">
        <f t="shared" si="29"/>
        <v>9398.6520404627863</v>
      </c>
      <c r="G63" s="57">
        <f t="shared" si="29"/>
        <v>8394.3382371306834</v>
      </c>
      <c r="H63" s="57">
        <f t="shared" si="29"/>
        <v>7502.4435190266813</v>
      </c>
      <c r="I63" s="57">
        <f t="shared" si="29"/>
        <v>6709.2640991536373</v>
      </c>
      <c r="J63" s="57">
        <f t="shared" si="29"/>
        <v>6179.9916548590027</v>
      </c>
      <c r="K63" s="57">
        <f t="shared" si="29"/>
        <v>5723.2516362546958</v>
      </c>
      <c r="L63" s="57">
        <f t="shared" si="29"/>
        <v>3005.598809394713</v>
      </c>
      <c r="M63" s="57">
        <f t="shared" si="29"/>
        <v>2358.630583076093</v>
      </c>
      <c r="N63" s="57">
        <f t="shared" si="29"/>
        <v>2572.9303302379458</v>
      </c>
      <c r="O63" s="57">
        <f t="shared" si="29"/>
        <v>2713.6155660719755</v>
      </c>
      <c r="P63" s="57">
        <f t="shared" si="29"/>
        <v>1731.8390975693994</v>
      </c>
      <c r="Q63" s="57">
        <f t="shared" si="29"/>
        <v>1231.1300472378484</v>
      </c>
      <c r="R63" s="57">
        <f t="shared" si="29"/>
        <v>1021.2844334568041</v>
      </c>
      <c r="S63" s="57">
        <f t="shared" si="29"/>
        <v>942.62058471229659</v>
      </c>
      <c r="T63" s="57">
        <f t="shared" si="29"/>
        <v>851.17907456005639</v>
      </c>
    </row>
    <row r="64" spans="1:20" x14ac:dyDescent="0.2">
      <c r="A64" s="58" t="str">
        <f t="shared" ref="A64:S64" si="30">A44</f>
        <v>CapEx</v>
      </c>
      <c r="B64" s="57">
        <f t="shared" si="30"/>
        <v>3809.3659272587925</v>
      </c>
      <c r="C64" s="57">
        <f t="shared" si="30"/>
        <v>3949.7904185341822</v>
      </c>
      <c r="D64" s="57">
        <f t="shared" si="30"/>
        <v>3717.4026006829681</v>
      </c>
      <c r="E64" s="57">
        <f t="shared" si="30"/>
        <v>3785.1152564920731</v>
      </c>
      <c r="F64" s="57">
        <f t="shared" si="30"/>
        <v>3516.9266383838676</v>
      </c>
      <c r="G64" s="57">
        <f t="shared" si="30"/>
        <v>3279.7944092359726</v>
      </c>
      <c r="H64" s="57">
        <f t="shared" si="30"/>
        <v>3055.0141034660628</v>
      </c>
      <c r="I64" s="57">
        <f t="shared" si="30"/>
        <v>2318.1466564404209</v>
      </c>
      <c r="J64" s="57">
        <f t="shared" si="30"/>
        <v>3125.1790000000001</v>
      </c>
      <c r="K64" s="57">
        <f t="shared" si="30"/>
        <v>2703.2070000000003</v>
      </c>
      <c r="L64" s="57">
        <f t="shared" si="30"/>
        <v>1956.0409999999999</v>
      </c>
      <c r="M64" s="57">
        <f t="shared" si="30"/>
        <v>968.11999999999989</v>
      </c>
      <c r="N64" s="57">
        <f t="shared" si="30"/>
        <v>876.91200000000003</v>
      </c>
      <c r="O64" s="57">
        <f t="shared" si="30"/>
        <v>846.08699999999988</v>
      </c>
      <c r="P64" s="57">
        <f t="shared" si="30"/>
        <v>1055.2470000000001</v>
      </c>
      <c r="Q64" s="57">
        <f t="shared" si="30"/>
        <v>201.79599999999996</v>
      </c>
      <c r="R64" s="57">
        <f t="shared" si="30"/>
        <v>243.88099999999997</v>
      </c>
      <c r="S64" s="57">
        <f t="shared" si="30"/>
        <v>256.25100000000003</v>
      </c>
      <c r="T64" s="57"/>
    </row>
    <row r="65" spans="1:20" x14ac:dyDescent="0.2">
      <c r="A65" s="58" t="str">
        <f t="shared" ref="A65:S65" si="31">A60</f>
        <v>∆ In NOWC</v>
      </c>
      <c r="B65" s="57">
        <f t="shared" si="31"/>
        <v>167.11893831914131</v>
      </c>
      <c r="C65" s="57">
        <f t="shared" si="31"/>
        <v>188.37564788997634</v>
      </c>
      <c r="D65" s="57">
        <f t="shared" si="31"/>
        <v>167.84949216068799</v>
      </c>
      <c r="E65" s="57">
        <f t="shared" si="31"/>
        <v>99.553782637900895</v>
      </c>
      <c r="F65" s="57">
        <f t="shared" si="31"/>
        <v>246.34849217407418</v>
      </c>
      <c r="G65" s="57">
        <f t="shared" si="31"/>
        <v>111.86906744444468</v>
      </c>
      <c r="H65" s="57">
        <f t="shared" si="31"/>
        <v>-86.707243333333281</v>
      </c>
      <c r="I65" s="57">
        <f t="shared" si="31"/>
        <v>646.69770000000017</v>
      </c>
      <c r="J65" s="57">
        <f t="shared" si="31"/>
        <v>-254.89299999999912</v>
      </c>
      <c r="K65" s="57">
        <f t="shared" si="31"/>
        <v>-628.27900000000045</v>
      </c>
      <c r="L65" s="57">
        <f t="shared" si="31"/>
        <v>1984.6189999999997</v>
      </c>
      <c r="M65" s="57">
        <f t="shared" si="31"/>
        <v>416.46400000000017</v>
      </c>
      <c r="N65" s="57">
        <f t="shared" si="31"/>
        <v>-351.21700000000033</v>
      </c>
      <c r="O65" s="57">
        <f t="shared" si="31"/>
        <v>72.371999999999844</v>
      </c>
      <c r="P65" s="57">
        <f t="shared" si="31"/>
        <v>-3136.9229999999998</v>
      </c>
      <c r="Q65" s="57">
        <f t="shared" si="31"/>
        <v>851.3720000000003</v>
      </c>
      <c r="R65" s="57">
        <f t="shared" si="31"/>
        <v>237.72699999999986</v>
      </c>
      <c r="S65" s="57">
        <f t="shared" si="31"/>
        <v>-1799.0830000000005</v>
      </c>
      <c r="T65" s="57"/>
    </row>
    <row r="66" spans="1:20" ht="14.3" thickBot="1" x14ac:dyDescent="0.3">
      <c r="A66" s="49" t="s">
        <v>312</v>
      </c>
      <c r="B66" s="59">
        <f t="shared" ref="B66:I66" si="32">B63-B64-B65</f>
        <v>8372.5595180178098</v>
      </c>
      <c r="C66" s="59">
        <f t="shared" si="32"/>
        <v>7999.2422320315691</v>
      </c>
      <c r="D66" s="59">
        <f t="shared" si="32"/>
        <v>7343.7265444645827</v>
      </c>
      <c r="E66" s="59">
        <f t="shared" si="32"/>
        <v>6505.6126223784449</v>
      </c>
      <c r="F66" s="59">
        <f t="shared" si="32"/>
        <v>5635.3769099048441</v>
      </c>
      <c r="G66" s="59">
        <f t="shared" si="32"/>
        <v>5002.6747604502671</v>
      </c>
      <c r="H66" s="59">
        <f t="shared" si="32"/>
        <v>4534.1366588939518</v>
      </c>
      <c r="I66" s="59">
        <f t="shared" si="32"/>
        <v>3744.4197427132162</v>
      </c>
      <c r="J66" s="59">
        <f>J63-J64-J65</f>
        <v>3309.7056548590017</v>
      </c>
      <c r="K66" s="52">
        <f t="shared" ref="K66:R66" si="33">K63-K64-K65</f>
        <v>3648.3236362546959</v>
      </c>
      <c r="L66" s="52">
        <f t="shared" si="33"/>
        <v>-935.06119060528658</v>
      </c>
      <c r="M66" s="52">
        <f t="shared" si="33"/>
        <v>974.04658307609293</v>
      </c>
      <c r="N66" s="52">
        <f t="shared" si="33"/>
        <v>2047.2353302379461</v>
      </c>
      <c r="O66" s="52">
        <f t="shared" si="33"/>
        <v>1795.1565660719757</v>
      </c>
      <c r="P66" s="52">
        <f t="shared" si="33"/>
        <v>3813.5150975693991</v>
      </c>
      <c r="Q66" s="52">
        <f t="shared" si="33"/>
        <v>177.96204723784808</v>
      </c>
      <c r="R66" s="52">
        <f t="shared" si="33"/>
        <v>539.67643345680426</v>
      </c>
      <c r="S66" s="52">
        <f>S63-S64-S65</f>
        <v>2485.4525847122968</v>
      </c>
      <c r="T66" s="52"/>
    </row>
    <row r="67" spans="1:20" ht="13.6" thickTop="1" x14ac:dyDescent="0.2"/>
  </sheetData>
  <conditionalFormatting sqref="B23">
    <cfRule type="containsText" dxfId="7" priority="3" operator="containsText" text="BUY">
      <formula>NOT(ISERROR(SEARCH("BUY",B23)))</formula>
    </cfRule>
    <cfRule type="containsText" dxfId="6" priority="4" operator="containsText" text="SELL">
      <formula>NOT(ISERROR(SEARCH("SELL",B23)))</formula>
    </cfRule>
    <cfRule type="containsText" dxfId="5" priority="5" operator="containsText" text="&quot;SELL&quot;">
      <formula>NOT(ISERROR(SEARCH("""SELL""",B23)))</formula>
    </cfRule>
    <cfRule type="cellIs" dxfId="4" priority="6" operator="equal">
      <formula>"""BUY"""</formula>
    </cfRule>
    <cfRule type="colorScale" priority="7">
      <colorScale>
        <cfvo type="formula" val="$B$20&lt;#REF!"/>
        <cfvo type="formula" val="$B$20&gt;#REF!"/>
        <color rgb="FFFCFCFF"/>
        <color rgb="FF63BE7B"/>
      </colorScale>
    </cfRule>
    <cfRule type="colorScale" priority="8">
      <colorScale>
        <cfvo type="formula" val="$B$20&lt;#REF!"/>
        <cfvo type="formula" val="&quot;=&quot;"/>
        <color rgb="FFFF0000"/>
        <color rgb="FFFFEF9C"/>
      </colorScale>
    </cfRule>
    <cfRule type="expression" priority="9">
      <formula>B23="buy"</formula>
    </cfRule>
  </conditionalFormatting>
  <conditionalFormatting sqref="F6:U25">
    <cfRule type="colorScale" priority="1">
      <colorScale>
        <cfvo type="num" val="$B$2-70"/>
        <cfvo type="num" val="$B$2+15"/>
        <cfvo type="num" val="$B$2+150"/>
        <color rgb="FFFF0000"/>
        <color rgb="FFFFFF00"/>
        <color rgb="FF00B050"/>
      </colorScale>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8D38-68F7-437E-8FAE-352CD3225881}">
  <dimension ref="A1:U67"/>
  <sheetViews>
    <sheetView showGridLines="0" workbookViewId="0">
      <selection activeCell="B13" sqref="B13"/>
    </sheetView>
  </sheetViews>
  <sheetFormatPr defaultRowHeight="12.9" x14ac:dyDescent="0.2"/>
  <cols>
    <col min="1" max="1" width="29.625" bestFit="1" customWidth="1"/>
    <col min="2" max="2" width="16.75" bestFit="1" customWidth="1"/>
    <col min="3" max="3" width="11.125" bestFit="1" customWidth="1"/>
    <col min="4" max="4" width="12" bestFit="1" customWidth="1"/>
    <col min="5" max="5" width="11.125" bestFit="1" customWidth="1"/>
    <col min="6" max="15" width="10.125" bestFit="1" customWidth="1"/>
    <col min="16" max="16" width="10.75" bestFit="1" customWidth="1"/>
    <col min="17" max="18" width="10.125" bestFit="1" customWidth="1"/>
    <col min="19" max="19" width="10.75" bestFit="1" customWidth="1"/>
    <col min="20" max="20" width="9.25" bestFit="1" customWidth="1"/>
  </cols>
  <sheetData>
    <row r="1" spans="1:21" ht="13.6" x14ac:dyDescent="0.25">
      <c r="A1" s="70" t="e" vm="1">
        <v>#VALUE!</v>
      </c>
    </row>
    <row r="2" spans="1:21" ht="13.6" x14ac:dyDescent="0.25">
      <c r="A2" s="70" t="s">
        <v>323</v>
      </c>
      <c r="B2" s="64" cm="1">
        <f t="array" aca="1" ref="B2" ca="1">_FV(A1,"Price")</f>
        <v>238.31</v>
      </c>
      <c r="D2" s="70" t="str">
        <f>'BULL DCF'!D2</f>
        <v>WACC</v>
      </c>
      <c r="E2" s="106">
        <f>'BULL DCF'!E2</f>
        <v>7.9625350628261815E-2</v>
      </c>
    </row>
    <row r="3" spans="1:21" ht="13.6" x14ac:dyDescent="0.25">
      <c r="A3" s="70" t="s">
        <v>324</v>
      </c>
      <c r="B3" s="65" cm="1">
        <f t="array" aca="1" ref="B3" ca="1">_FV(A1,"Market cap",TRUE)</f>
        <v>118260908542</v>
      </c>
      <c r="D3" s="70" t="str">
        <f>'BULL DCF'!D3</f>
        <v>Growth Rate</v>
      </c>
      <c r="E3" s="97">
        <v>2.5000000000000001E-2</v>
      </c>
    </row>
    <row r="4" spans="1:21" ht="13.6" x14ac:dyDescent="0.25">
      <c r="A4" s="70" t="s">
        <v>360</v>
      </c>
      <c r="B4" s="81" cm="1">
        <f t="array" aca="1" ref="B4" ca="1">_FV(A1,"Shares outstanding",TRUE)</f>
        <v>496248200</v>
      </c>
    </row>
    <row r="5" spans="1:21" ht="13.6" x14ac:dyDescent="0.25">
      <c r="A5" s="70" t="s">
        <v>343</v>
      </c>
      <c r="B5" s="69">
        <v>0.1</v>
      </c>
      <c r="E5" s="112"/>
      <c r="F5" s="112"/>
      <c r="G5" s="112"/>
      <c r="H5" s="112"/>
      <c r="I5" s="112"/>
      <c r="J5" s="112"/>
      <c r="K5" s="112" t="s">
        <v>348</v>
      </c>
      <c r="L5" s="112"/>
      <c r="M5" s="112"/>
      <c r="N5" s="112"/>
      <c r="O5" s="112"/>
      <c r="P5" s="112"/>
      <c r="Q5" s="112"/>
      <c r="R5" s="112"/>
      <c r="S5" s="112"/>
      <c r="T5" s="112"/>
    </row>
    <row r="6" spans="1:21" x14ac:dyDescent="0.2">
      <c r="E6" s="114">
        <f ca="1">B20</f>
        <v>170.82631044193764</v>
      </c>
      <c r="F6" s="117">
        <v>0.05</v>
      </c>
      <c r="G6" s="115">
        <f>F6+0.5%</f>
        <v>5.5E-2</v>
      </c>
      <c r="H6" s="115">
        <f t="shared" ref="H6:T6" si="0">G6+0.5%</f>
        <v>0.06</v>
      </c>
      <c r="I6" s="115">
        <f t="shared" si="0"/>
        <v>6.5000000000000002E-2</v>
      </c>
      <c r="J6" s="115">
        <f t="shared" si="0"/>
        <v>7.0000000000000007E-2</v>
      </c>
      <c r="K6" s="115">
        <f t="shared" si="0"/>
        <v>7.5000000000000011E-2</v>
      </c>
      <c r="L6" s="115">
        <f t="shared" si="0"/>
        <v>8.0000000000000016E-2</v>
      </c>
      <c r="M6" s="115">
        <f t="shared" si="0"/>
        <v>8.500000000000002E-2</v>
      </c>
      <c r="N6" s="115">
        <f t="shared" si="0"/>
        <v>9.0000000000000024E-2</v>
      </c>
      <c r="O6" s="115">
        <f t="shared" si="0"/>
        <v>9.5000000000000029E-2</v>
      </c>
      <c r="P6" s="115">
        <f t="shared" si="0"/>
        <v>0.10000000000000003</v>
      </c>
      <c r="Q6" s="115">
        <f t="shared" si="0"/>
        <v>0.10500000000000004</v>
      </c>
      <c r="R6" s="115">
        <f t="shared" si="0"/>
        <v>0.11000000000000004</v>
      </c>
      <c r="S6" s="115">
        <f t="shared" si="0"/>
        <v>0.11500000000000005</v>
      </c>
      <c r="T6" s="115">
        <f t="shared" si="0"/>
        <v>0.12000000000000005</v>
      </c>
      <c r="U6" s="60"/>
    </row>
    <row r="7" spans="1:21" x14ac:dyDescent="0.2">
      <c r="A7" s="74" t="s">
        <v>356</v>
      </c>
      <c r="E7" s="117">
        <v>0</v>
      </c>
      <c r="F7" s="95">
        <f t="dataTable" ref="F7:T26" dt2D="1" dtr="1" r1="E2" r2="E3" ca="1"/>
        <v>212.03148797617757</v>
      </c>
      <c r="G7" s="95">
        <v>193.44111207757598</v>
      </c>
      <c r="H7" s="95">
        <v>177.97082066261203</v>
      </c>
      <c r="I7" s="95">
        <v>164.89995338230918</v>
      </c>
      <c r="J7" s="95">
        <v>153.71377534395899</v>
      </c>
      <c r="K7" s="95">
        <v>144.03483438612631</v>
      </c>
      <c r="L7" s="95">
        <v>135.58005941650543</v>
      </c>
      <c r="M7" s="95">
        <v>128.13300054940805</v>
      </c>
      <c r="N7" s="95">
        <v>121.52532256342165</v>
      </c>
      <c r="O7" s="95">
        <v>115.62414255965625</v>
      </c>
      <c r="P7" s="95">
        <v>110.32316634891269</v>
      </c>
      <c r="Q7" s="95">
        <v>105.53635732349214</v>
      </c>
      <c r="R7" s="95">
        <v>101.19333202189767</v>
      </c>
      <c r="S7" s="95">
        <v>97.23595687013902</v>
      </c>
      <c r="T7" s="95">
        <v>93.615795755499406</v>
      </c>
    </row>
    <row r="8" spans="1:21" ht="13.6" x14ac:dyDescent="0.25">
      <c r="A8" s="70" t="s">
        <v>351</v>
      </c>
      <c r="B8" s="70"/>
      <c r="E8" s="115">
        <f>E7+0.25%</f>
        <v>2.5000000000000001E-3</v>
      </c>
      <c r="F8" s="95">
        <v>219.74179977358961</v>
      </c>
      <c r="G8" s="95">
        <v>199.57550285062894</v>
      </c>
      <c r="H8" s="95">
        <v>182.93789313188884</v>
      </c>
      <c r="I8" s="95">
        <v>168.98145544095863</v>
      </c>
      <c r="J8" s="95">
        <v>157.10981217503087</v>
      </c>
      <c r="K8" s="95">
        <v>146.89112326266016</v>
      </c>
      <c r="L8" s="95">
        <v>138.00500875802518</v>
      </c>
      <c r="M8" s="95">
        <v>130.20877234515581</v>
      </c>
      <c r="N8" s="95">
        <v>123.31520538639013</v>
      </c>
      <c r="O8" s="95">
        <v>117.17758968596131</v>
      </c>
      <c r="P8" s="95">
        <v>111.67931481316978</v>
      </c>
      <c r="Q8" s="95">
        <v>106.72653428062168</v>
      </c>
      <c r="R8" s="95">
        <v>102.24287118173385</v>
      </c>
      <c r="S8" s="95">
        <v>98.165535676945723</v>
      </c>
      <c r="T8" s="95">
        <v>94.442433777040705</v>
      </c>
    </row>
    <row r="9" spans="1:21" x14ac:dyDescent="0.2">
      <c r="A9" t="s">
        <v>352</v>
      </c>
      <c r="B9" s="67">
        <f>E3</f>
        <v>2.5000000000000001E-2</v>
      </c>
      <c r="E9" s="115">
        <f t="shared" ref="E9:E26" si="1">E8+0.25%</f>
        <v>5.0000000000000001E-3</v>
      </c>
      <c r="F9" s="95">
        <v>228.30881288182513</v>
      </c>
      <c r="G9" s="95">
        <v>206.32333270098724</v>
      </c>
      <c r="H9" s="95">
        <v>188.35651764382712</v>
      </c>
      <c r="I9" s="95">
        <v>173.4030826711622</v>
      </c>
      <c r="J9" s="95">
        <v>160.7670826084929</v>
      </c>
      <c r="K9" s="95">
        <v>149.95143277323214</v>
      </c>
      <c r="L9" s="95">
        <v>140.59162138897955</v>
      </c>
      <c r="M9" s="95">
        <v>132.41427987813779</v>
      </c>
      <c r="N9" s="95">
        <v>125.21037543423918</v>
      </c>
      <c r="O9" s="95">
        <v>118.81733943039443</v>
      </c>
      <c r="P9" s="95">
        <v>113.10683951238777</v>
      </c>
      <c r="Q9" s="95">
        <v>107.97622008560768</v>
      </c>
      <c r="R9" s="95">
        <v>103.34238839680029</v>
      </c>
      <c r="S9" s="95">
        <v>99.137368065879983</v>
      </c>
      <c r="T9" s="95">
        <v>95.305012582127276</v>
      </c>
    </row>
    <row r="10" spans="1:21" x14ac:dyDescent="0.2">
      <c r="E10" s="115">
        <f t="shared" si="1"/>
        <v>7.4999999999999997E-3</v>
      </c>
      <c r="F10" s="95">
        <v>237.88370988514728</v>
      </c>
      <c r="G10" s="95">
        <v>213.78146043033061</v>
      </c>
      <c r="H10" s="95">
        <v>194.29120163309295</v>
      </c>
      <c r="I10" s="95">
        <v>178.20919922573134</v>
      </c>
      <c r="J10" s="95">
        <v>164.71693467663192</v>
      </c>
      <c r="K10" s="95">
        <v>153.23843187717983</v>
      </c>
      <c r="L10" s="95">
        <v>143.35662109793077</v>
      </c>
      <c r="M10" s="95">
        <v>134.76207821969928</v>
      </c>
      <c r="N10" s="95">
        <v>127.2204042728669</v>
      </c>
      <c r="O10" s="95">
        <v>120.55078916022374</v>
      </c>
      <c r="P10" s="95">
        <v>114.61152770886075</v>
      </c>
      <c r="Q10" s="95">
        <v>109.28999234213144</v>
      </c>
      <c r="R10" s="95">
        <v>104.49554059796756</v>
      </c>
      <c r="S10" s="95">
        <v>100.15440196127635</v>
      </c>
      <c r="T10" s="95">
        <v>96.20592822299551</v>
      </c>
    </row>
    <row r="11" spans="1:21" x14ac:dyDescent="0.2">
      <c r="A11" t="s">
        <v>353</v>
      </c>
      <c r="B11" s="50">
        <f>B66*(1+B9)/(E2-B9)</f>
        <v>95973.031235227085</v>
      </c>
      <c r="E11" s="115">
        <f t="shared" si="1"/>
        <v>0.01</v>
      </c>
      <c r="F11" s="95">
        <v>248.65546901388453</v>
      </c>
      <c r="G11" s="95">
        <v>222.0682690184899</v>
      </c>
      <c r="H11" s="95">
        <v>200.81935402128528</v>
      </c>
      <c r="I11" s="95">
        <v>183.45223546707942</v>
      </c>
      <c r="J11" s="95">
        <v>168.99594108378247</v>
      </c>
      <c r="K11" s="95">
        <v>156.77827706604651</v>
      </c>
      <c r="L11" s="95">
        <v>146.31912078609281</v>
      </c>
      <c r="M11" s="95">
        <v>137.26639645069815</v>
      </c>
      <c r="N11" s="95">
        <v>129.35605991390887</v>
      </c>
      <c r="O11" s="95">
        <v>122.38620652121945</v>
      </c>
      <c r="P11" s="95">
        <v>116.1998096940267</v>
      </c>
      <c r="Q11" s="95">
        <v>110.67291050689326</v>
      </c>
      <c r="R11" s="95">
        <v>105.70635040919318</v>
      </c>
      <c r="S11" s="95">
        <v>101.21986604216771</v>
      </c>
      <c r="T11" s="95">
        <v>97.147794574812266</v>
      </c>
    </row>
    <row r="12" spans="1:21" x14ac:dyDescent="0.2">
      <c r="E12" s="115">
        <f t="shared" si="1"/>
        <v>1.2500000000000001E-2</v>
      </c>
      <c r="F12" s="95">
        <v>260.8634626931202</v>
      </c>
      <c r="G12" s="95">
        <v>231.32999626407968</v>
      </c>
      <c r="H12" s="95">
        <v>208.03468034507685</v>
      </c>
      <c r="I12" s="95">
        <v>189.19460849331779</v>
      </c>
      <c r="J12" s="95">
        <v>173.64703500459831</v>
      </c>
      <c r="K12" s="95">
        <v>160.60130987002259</v>
      </c>
      <c r="L12" s="95">
        <v>149.50106489560017</v>
      </c>
      <c r="M12" s="95">
        <v>139.94342628383495</v>
      </c>
      <c r="N12" s="95">
        <v>131.62949978985674</v>
      </c>
      <c r="O12" s="95">
        <v>124.33286129803311</v>
      </c>
      <c r="P12" s="95">
        <v>117.87885064977357</v>
      </c>
      <c r="Q12" s="95">
        <v>112.13058100488549</v>
      </c>
      <c r="R12" s="95">
        <v>106.97925303125086</v>
      </c>
      <c r="S12" s="95">
        <v>102.33730398066359</v>
      </c>
      <c r="T12" s="95">
        <v>98.133468663922827</v>
      </c>
    </row>
    <row r="13" spans="1:21" x14ac:dyDescent="0.2">
      <c r="A13" t="s">
        <v>354</v>
      </c>
      <c r="B13" s="75">
        <f>NPV(E2,I66,H66,G66,F66,E66,D66,C66,B11+B66)</f>
        <v>75914.250835878018</v>
      </c>
      <c r="E13" s="115">
        <f t="shared" si="1"/>
        <v>1.5000000000000001E-2</v>
      </c>
      <c r="F13" s="95">
        <v>274.81545546938952</v>
      </c>
      <c r="G13" s="95">
        <v>241.74943941536819</v>
      </c>
      <c r="H13" s="95">
        <v>216.05170959373413</v>
      </c>
      <c r="I13" s="95">
        <v>195.51121882218007</v>
      </c>
      <c r="J13" s="95">
        <v>178.72095564548835</v>
      </c>
      <c r="K13" s="95">
        <v>164.74292874099669</v>
      </c>
      <c r="L13" s="95">
        <v>152.92777393660805</v>
      </c>
      <c r="M13" s="95">
        <v>142.81167253362432</v>
      </c>
      <c r="N13" s="95">
        <v>134.0545023242012</v>
      </c>
      <c r="O13" s="95">
        <v>126.4011819983976</v>
      </c>
      <c r="P13" s="95">
        <v>119.65665872056432</v>
      </c>
      <c r="Q13" s="95">
        <v>113.6692331972106</v>
      </c>
      <c r="R13" s="95">
        <v>108.31915052815376</v>
      </c>
      <c r="S13" s="95">
        <v>103.51061381608424</v>
      </c>
      <c r="T13" s="95">
        <v>99.166079614419601</v>
      </c>
    </row>
    <row r="14" spans="1:21" x14ac:dyDescent="0.2">
      <c r="A14" s="76" t="str">
        <f>"(-)"&amp;A48</f>
        <v>(-)Cash &amp; Short-Term Investments</v>
      </c>
      <c r="B14">
        <f>B48</f>
        <v>1976.5469544123005</v>
      </c>
      <c r="E14" s="115">
        <f t="shared" si="1"/>
        <v>1.7500000000000002E-2</v>
      </c>
      <c r="F14" s="95">
        <v>290.91390867277715</v>
      </c>
      <c r="G14" s="95">
        <v>253.5581416534952</v>
      </c>
      <c r="H14" s="95">
        <v>225.01191875399817</v>
      </c>
      <c r="I14" s="95">
        <v>202.49273550144889</v>
      </c>
      <c r="J14" s="95">
        <v>184.27810682360601</v>
      </c>
      <c r="K14" s="95">
        <v>169.24468838335983</v>
      </c>
      <c r="L14" s="95">
        <v>156.62861970089665</v>
      </c>
      <c r="M14" s="95">
        <v>145.8923814685833</v>
      </c>
      <c r="N14" s="95">
        <v>136.64674641263835</v>
      </c>
      <c r="O14" s="95">
        <v>128.60294274394693</v>
      </c>
      <c r="P14" s="95">
        <v>121.54221273503941</v>
      </c>
      <c r="Q14" s="95">
        <v>115.29580837195429</v>
      </c>
      <c r="R14" s="95">
        <v>109.73147491678107</v>
      </c>
      <c r="S14" s="95">
        <v>104.74409338665468</v>
      </c>
      <c r="T14" s="95">
        <v>100.24906183079426</v>
      </c>
    </row>
    <row r="15" spans="1:21" x14ac:dyDescent="0.2">
      <c r="A15" s="76" t="str">
        <f>"(-)"&amp;A49</f>
        <v>(-)Short-Term Receivables</v>
      </c>
      <c r="B15">
        <f>B49</f>
        <v>2394.8108120129655</v>
      </c>
      <c r="E15" s="115">
        <f t="shared" si="1"/>
        <v>0.02</v>
      </c>
      <c r="F15" s="95">
        <v>309.69543741006282</v>
      </c>
      <c r="G15" s="95">
        <v>267.05380135421171</v>
      </c>
      <c r="H15" s="95">
        <v>235.09215405929521</v>
      </c>
      <c r="I15" s="95">
        <v>210.24997625619199</v>
      </c>
      <c r="J15" s="95">
        <v>190.3909731195354</v>
      </c>
      <c r="K15" s="95">
        <v>174.1556989023014</v>
      </c>
      <c r="L15" s="95">
        <v>160.63786927887591</v>
      </c>
      <c r="M15" s="95">
        <v>149.21006801392375</v>
      </c>
      <c r="N15" s="95">
        <v>139.42415079310672</v>
      </c>
      <c r="O15" s="95">
        <v>130.95148753919952</v>
      </c>
      <c r="P15" s="95">
        <v>123.54561387541921</v>
      </c>
      <c r="Q15" s="95">
        <v>117.01806443932996</v>
      </c>
      <c r="R15" s="95">
        <v>111.22226177144329</v>
      </c>
      <c r="S15" s="95">
        <v>106.04249293462357</v>
      </c>
      <c r="T15" s="95">
        <v>101.38619315798765</v>
      </c>
    </row>
    <row r="16" spans="1:21" x14ac:dyDescent="0.2">
      <c r="A16" s="76" t="str">
        <f>"(+)"&amp;"Total Debt"</f>
        <v>(+)Total Debt</v>
      </c>
      <c r="B16" s="62">
        <f>WACC!E36</f>
        <v>13229.356</v>
      </c>
      <c r="E16" s="115">
        <f t="shared" si="1"/>
        <v>2.2499999999999999E-2</v>
      </c>
      <c r="F16" s="95">
        <v>331.89178955412763</v>
      </c>
      <c r="G16" s="95">
        <v>282.62571639350006</v>
      </c>
      <c r="H16" s="95">
        <v>246.51642073863187</v>
      </c>
      <c r="I16" s="95">
        <v>218.91983357031663</v>
      </c>
      <c r="J16" s="95">
        <v>197.14729902556263</v>
      </c>
      <c r="K16" s="95">
        <v>179.53442470876121</v>
      </c>
      <c r="L16" s="95">
        <v>164.99574925494031</v>
      </c>
      <c r="M16" s="95">
        <v>152.79316948289141</v>
      </c>
      <c r="N16" s="95">
        <v>142.40728883138758</v>
      </c>
      <c r="O16" s="95">
        <v>133.46200094102124</v>
      </c>
      <c r="P16" s="95">
        <v>125.67826670227508</v>
      </c>
      <c r="Q16" s="95">
        <v>118.84469966230417</v>
      </c>
      <c r="R16" s="95">
        <v>112.79823644637186</v>
      </c>
      <c r="S16" s="95">
        <v>107.4110762419421</v>
      </c>
      <c r="T16" s="95">
        <v>102.5816389122166</v>
      </c>
    </row>
    <row r="17" spans="1:20" x14ac:dyDescent="0.2">
      <c r="A17" t="s">
        <v>355</v>
      </c>
      <c r="B17" s="96">
        <f>B13-B14-B15+B16</f>
        <v>84772.249069452751</v>
      </c>
      <c r="E17" s="115">
        <f t="shared" si="1"/>
        <v>2.4999999999999998E-2</v>
      </c>
      <c r="F17" s="95">
        <v>358.52741212700528</v>
      </c>
      <c r="G17" s="95">
        <v>300.79295060600305</v>
      </c>
      <c r="H17" s="95">
        <v>259.57272551501649</v>
      </c>
      <c r="I17" s="95">
        <v>228.67342304870684</v>
      </c>
      <c r="J17" s="95">
        <v>204.65432781003727</v>
      </c>
      <c r="K17" s="95">
        <v>185.45102309586701</v>
      </c>
      <c r="L17" s="95">
        <v>169.74980013791964</v>
      </c>
      <c r="M17" s="95">
        <v>156.67486274093969</v>
      </c>
      <c r="N17" s="95">
        <v>145.61989902645922</v>
      </c>
      <c r="O17" s="95">
        <v>136.15183672868739</v>
      </c>
      <c r="P17" s="95">
        <v>127.95309638425469</v>
      </c>
      <c r="Q17" s="95">
        <v>120.78549958671425</v>
      </c>
      <c r="R17" s="95">
        <v>114.46691551394329</v>
      </c>
      <c r="S17" s="95">
        <v>108.85569195522277</v>
      </c>
      <c r="T17" s="95">
        <v>103.84000286403656</v>
      </c>
    </row>
    <row r="18" spans="1:20" x14ac:dyDescent="0.2">
      <c r="E18" s="115">
        <f t="shared" si="1"/>
        <v>2.7499999999999997E-2</v>
      </c>
      <c r="F18" s="95">
        <v>391.0820619383004</v>
      </c>
      <c r="G18" s="95">
        <v>322.26331831168847</v>
      </c>
      <c r="H18" s="95">
        <v>274.63769256469129</v>
      </c>
      <c r="I18" s="95">
        <v>239.72749112421576</v>
      </c>
      <c r="J18" s="95">
        <v>213.04453645150903</v>
      </c>
      <c r="K18" s="95">
        <v>191.99042131319453</v>
      </c>
      <c r="L18" s="95">
        <v>174.95661777165898</v>
      </c>
      <c r="M18" s="95">
        <v>160.89409454316615</v>
      </c>
      <c r="N18" s="95">
        <v>149.08951803713666</v>
      </c>
      <c r="O18" s="95">
        <v>139.0409196117362</v>
      </c>
      <c r="P18" s="95">
        <v>130.38481087188805</v>
      </c>
      <c r="Q18" s="95">
        <v>122.85151240947336</v>
      </c>
      <c r="R18" s="95">
        <v>116.23672664621607</v>
      </c>
      <c r="S18" s="95">
        <v>110.38285713783378</v>
      </c>
      <c r="T18" s="95">
        <v>105.16638648892791</v>
      </c>
    </row>
    <row r="19" spans="1:20" x14ac:dyDescent="0.2">
      <c r="A19" t="s">
        <v>357</v>
      </c>
      <c r="B19">
        <f ca="1">B4/1000000</f>
        <v>496.2482</v>
      </c>
      <c r="E19" s="115">
        <f t="shared" si="1"/>
        <v>2.9999999999999995E-2</v>
      </c>
      <c r="F19" s="95">
        <v>431.77537420241913</v>
      </c>
      <c r="G19" s="95">
        <v>348.02775955851092</v>
      </c>
      <c r="H19" s="95">
        <v>292.2134874559784</v>
      </c>
      <c r="I19" s="95">
        <v>252.3607117819403</v>
      </c>
      <c r="J19" s="95">
        <v>222.48352117316472</v>
      </c>
      <c r="K19" s="95">
        <v>199.25641933244728</v>
      </c>
      <c r="L19" s="95">
        <v>180.68411716877225</v>
      </c>
      <c r="M19" s="95">
        <v>165.4968928728677</v>
      </c>
      <c r="N19" s="95">
        <v>152.84827196537054</v>
      </c>
      <c r="O19" s="95">
        <v>142.15223963963493</v>
      </c>
      <c r="P19" s="95">
        <v>132.99021925149529</v>
      </c>
      <c r="Q19" s="95">
        <v>125.05525942041643</v>
      </c>
      <c r="R19" s="95">
        <v>118.11715097425586</v>
      </c>
      <c r="S19" s="95">
        <v>111.99985556648075</v>
      </c>
      <c r="T19" s="95">
        <v>106.56645809297983</v>
      </c>
    </row>
    <row r="20" spans="1:20" x14ac:dyDescent="0.2">
      <c r="A20" t="s">
        <v>358</v>
      </c>
      <c r="B20" s="75">
        <f ca="1">B17/B19</f>
        <v>170.82631044193764</v>
      </c>
      <c r="E20" s="115">
        <f t="shared" si="1"/>
        <v>3.2499999999999994E-2</v>
      </c>
      <c r="F20" s="95">
        <v>484.095347113429</v>
      </c>
      <c r="G20" s="95">
        <v>379.51763219351625</v>
      </c>
      <c r="H20" s="95">
        <v>312.98488141840858</v>
      </c>
      <c r="I20" s="95">
        <v>266.93750484854547</v>
      </c>
      <c r="J20" s="95">
        <v>233.18103719104113</v>
      </c>
      <c r="K20" s="95">
        <v>207.37724064808268</v>
      </c>
      <c r="L20" s="95">
        <v>187.01451123926583</v>
      </c>
      <c r="M20" s="95">
        <v>170.53805294825511</v>
      </c>
      <c r="N20" s="95">
        <v>156.9338740612769</v>
      </c>
      <c r="O20" s="95">
        <v>145.51246526976556</v>
      </c>
      <c r="P20" s="95">
        <v>135.78862084440669</v>
      </c>
      <c r="Q20" s="95">
        <v>127.41098898383834</v>
      </c>
      <c r="R20" s="95">
        <v>120.11889300087887</v>
      </c>
      <c r="S20" s="95">
        <v>113.71485389989418</v>
      </c>
      <c r="T20" s="95">
        <v>108.04653378869187</v>
      </c>
    </row>
    <row r="21" spans="1:20" x14ac:dyDescent="0.2">
      <c r="E21" s="115">
        <f t="shared" si="1"/>
        <v>3.4999999999999996E-2</v>
      </c>
      <c r="F21" s="95">
        <v>553.85531099477555</v>
      </c>
      <c r="G21" s="95">
        <v>418.87997298727282</v>
      </c>
      <c r="H21" s="95">
        <v>337.9105541733249</v>
      </c>
      <c r="I21" s="95">
        <v>283.94376342625151</v>
      </c>
      <c r="J21" s="95">
        <v>245.40676978289994</v>
      </c>
      <c r="K21" s="95">
        <v>216.51316462817258</v>
      </c>
      <c r="L21" s="95">
        <v>194.04828242870306</v>
      </c>
      <c r="M21" s="95">
        <v>176.08332903118125</v>
      </c>
      <c r="N21" s="95">
        <v>161.39089452953837</v>
      </c>
      <c r="O21" s="95">
        <v>149.15270970240709</v>
      </c>
      <c r="P21" s="95">
        <v>138.8022840983113</v>
      </c>
      <c r="Q21" s="95">
        <v>129.93498494464751</v>
      </c>
      <c r="R21" s="95">
        <v>122.25408449594343</v>
      </c>
      <c r="S21" s="95">
        <v>115.53703962914595</v>
      </c>
      <c r="T21" s="95">
        <v>109.61367276062226</v>
      </c>
    </row>
    <row r="22" spans="1:20" x14ac:dyDescent="0.2">
      <c r="A22" t="str">
        <f ca="1">IF(B20&gt;$B$2,"Undervalued By", "Overvalued By")</f>
        <v>Overvalued By</v>
      </c>
      <c r="B22" s="67">
        <f ca="1">IF(B20&gt;$B$2,-($B$2-B20)/$B$2,($B$2-B20)/$B$2)</f>
        <v>0.28317607132752448</v>
      </c>
      <c r="E22" s="115">
        <f t="shared" si="1"/>
        <v>3.7499999999999999E-2</v>
      </c>
      <c r="F22" s="95">
        <v>651.51926042866069</v>
      </c>
      <c r="G22" s="95">
        <v>469.48869686495993</v>
      </c>
      <c r="H22" s="95">
        <v>368.37526531822266</v>
      </c>
      <c r="I22" s="95">
        <v>304.04206901808595</v>
      </c>
      <c r="J22" s="95">
        <v>259.51338431196785</v>
      </c>
      <c r="K22" s="95">
        <v>226.86721180560778</v>
      </c>
      <c r="L22" s="95">
        <v>201.90955611101543</v>
      </c>
      <c r="M22" s="95">
        <v>182.21231838599439</v>
      </c>
      <c r="N22" s="95">
        <v>166.27239313763434</v>
      </c>
      <c r="O22" s="95">
        <v>153.10949712919137</v>
      </c>
      <c r="P22" s="95">
        <v>142.05704041252829</v>
      </c>
      <c r="Q22" s="95">
        <v>132.64594356922032</v>
      </c>
      <c r="R22" s="95">
        <v>124.53653057687451</v>
      </c>
      <c r="S22" s="95">
        <v>117.4767857280269</v>
      </c>
      <c r="T22" s="95">
        <v>111.27578985206362</v>
      </c>
    </row>
    <row r="23" spans="1:20" ht="13.6" x14ac:dyDescent="0.25">
      <c r="A23" t="s">
        <v>359</v>
      </c>
      <c r="B23" s="80" t="str">
        <f ca="1">IF(A22="Overvalued By","SELL","BUY")</f>
        <v>SELL</v>
      </c>
      <c r="E23" s="115">
        <f t="shared" si="1"/>
        <v>0.04</v>
      </c>
      <c r="F23" s="95">
        <v>798.0151845794885</v>
      </c>
      <c r="G23" s="95">
        <v>536.96699536854271</v>
      </c>
      <c r="H23" s="95">
        <v>406.45615424934482</v>
      </c>
      <c r="I23" s="95">
        <v>328.16003572828731</v>
      </c>
      <c r="J23" s="95">
        <v>275.97110126254699</v>
      </c>
      <c r="K23" s="95">
        <v>238.70040857981942</v>
      </c>
      <c r="L23" s="95">
        <v>210.75348900361675</v>
      </c>
      <c r="M23" s="95">
        <v>189.02230655800898</v>
      </c>
      <c r="N23" s="95">
        <v>171.64204160653989</v>
      </c>
      <c r="O23" s="95">
        <v>157.4259925038651</v>
      </c>
      <c r="P23" s="95">
        <v>145.58302641959673</v>
      </c>
      <c r="Q23" s="95">
        <v>135.56543747260645</v>
      </c>
      <c r="R23" s="95">
        <v>126.98200852072924</v>
      </c>
      <c r="S23" s="95">
        <v>119.54584823349987</v>
      </c>
      <c r="T23" s="95">
        <v>113.04178926172006</v>
      </c>
    </row>
    <row r="24" spans="1:20" x14ac:dyDescent="0.2">
      <c r="E24" s="115">
        <f t="shared" si="1"/>
        <v>4.2500000000000003E-2</v>
      </c>
      <c r="F24" s="95">
        <v>1042.1750581642016</v>
      </c>
      <c r="G24" s="95">
        <v>631.43661327355858</v>
      </c>
      <c r="H24" s="95">
        <v>455.41729716078754</v>
      </c>
      <c r="I24" s="95">
        <v>357.63755059631114</v>
      </c>
      <c r="J24" s="95">
        <v>295.42113038595875</v>
      </c>
      <c r="K24" s="95">
        <v>252.35409716544822</v>
      </c>
      <c r="L24" s="95">
        <v>220.77661294856495</v>
      </c>
      <c r="M24" s="95">
        <v>196.63346980908406</v>
      </c>
      <c r="N24" s="95">
        <v>177.57691623006701</v>
      </c>
      <c r="O24" s="95">
        <v>162.1535826761268</v>
      </c>
      <c r="P24" s="95">
        <v>149.41561990554064</v>
      </c>
      <c r="Q24" s="95">
        <v>138.71849088826346</v>
      </c>
      <c r="R24" s="95">
        <v>129.60863297894355</v>
      </c>
      <c r="S24" s="95">
        <v>121.75760470486753</v>
      </c>
      <c r="T24" s="95">
        <v>114.92172411716074</v>
      </c>
    </row>
    <row r="25" spans="1:20" x14ac:dyDescent="0.2">
      <c r="E25" s="115">
        <f t="shared" si="1"/>
        <v>4.5000000000000005E-2</v>
      </c>
      <c r="F25" s="95">
        <v>1530.4948053336284</v>
      </c>
      <c r="G25" s="95">
        <v>773.1410401310826</v>
      </c>
      <c r="H25" s="95">
        <v>520.6988210427113</v>
      </c>
      <c r="I25" s="95">
        <v>394.4844441813409</v>
      </c>
      <c r="J25" s="95">
        <v>318.76116533405281</v>
      </c>
      <c r="K25" s="95">
        <v>268.28340051534849</v>
      </c>
      <c r="L25" s="95">
        <v>232.23161174279142</v>
      </c>
      <c r="M25" s="95">
        <v>205.19602846654357</v>
      </c>
      <c r="N25" s="95">
        <v>184.17122136731939</v>
      </c>
      <c r="O25" s="95">
        <v>167.3539318656147</v>
      </c>
      <c r="P25" s="95">
        <v>153.59663098111579</v>
      </c>
      <c r="Q25" s="95">
        <v>142.13429875522519</v>
      </c>
      <c r="R25" s="95">
        <v>132.43730547240511</v>
      </c>
      <c r="S25" s="95">
        <v>124.1273437813329</v>
      </c>
      <c r="T25" s="95">
        <v>116.92698796296418</v>
      </c>
    </row>
    <row r="26" spans="1:20" x14ac:dyDescent="0.2">
      <c r="E26" s="115">
        <f t="shared" si="1"/>
        <v>4.7500000000000007E-2</v>
      </c>
      <c r="F26" s="95">
        <v>2995.4540468419109</v>
      </c>
      <c r="G26" s="95">
        <v>1009.315084893623</v>
      </c>
      <c r="H26" s="95">
        <v>612.09295447740453</v>
      </c>
      <c r="I26" s="95">
        <v>441.85902164780788</v>
      </c>
      <c r="J26" s="95">
        <v>347.28787471505677</v>
      </c>
      <c r="K26" s="95">
        <v>287.10894083795796</v>
      </c>
      <c r="L26" s="95">
        <v>245.448918043822</v>
      </c>
      <c r="M26" s="95">
        <v>214.90026161166435</v>
      </c>
      <c r="N26" s="95">
        <v>191.54132710895448</v>
      </c>
      <c r="O26" s="95">
        <v>173.10168623294342</v>
      </c>
      <c r="P26" s="95">
        <v>158.17583358769815</v>
      </c>
      <c r="Q26" s="95">
        <v>145.8471333932271</v>
      </c>
      <c r="R26" s="95">
        <v>135.49227176534365</v>
      </c>
      <c r="S26" s="95">
        <v>126.67261908568457</v>
      </c>
      <c r="T26" s="95">
        <v>119.07054586709889</v>
      </c>
    </row>
    <row r="28" spans="1:20" ht="13.6" x14ac:dyDescent="0.25">
      <c r="A28" s="77"/>
      <c r="B28" s="77" t="s">
        <v>326</v>
      </c>
      <c r="C28" s="77"/>
      <c r="D28" s="77"/>
      <c r="E28" s="77"/>
      <c r="F28" s="77"/>
      <c r="G28" s="77"/>
      <c r="H28" s="77"/>
      <c r="I28" s="77"/>
      <c r="J28" s="77" t="s">
        <v>325</v>
      </c>
      <c r="K28" s="77"/>
      <c r="L28" s="77"/>
      <c r="M28" s="77"/>
      <c r="N28" s="77"/>
      <c r="O28" s="77"/>
      <c r="P28" s="77"/>
      <c r="Q28" s="77"/>
      <c r="R28" s="77"/>
      <c r="S28" s="77"/>
      <c r="T28" s="77"/>
    </row>
    <row r="29" spans="1:20" ht="13.6" x14ac:dyDescent="0.25">
      <c r="A29" s="77" t="s">
        <v>303</v>
      </c>
      <c r="B29" s="78" t="s">
        <v>321</v>
      </c>
      <c r="C29" s="78" t="s">
        <v>320</v>
      </c>
      <c r="D29" s="78" t="s">
        <v>319</v>
      </c>
      <c r="E29" s="78" t="s">
        <v>318</v>
      </c>
      <c r="F29" s="78" t="s">
        <v>317</v>
      </c>
      <c r="G29" s="78" t="s">
        <v>316</v>
      </c>
      <c r="H29" s="78" t="s">
        <v>315</v>
      </c>
      <c r="I29" s="78" t="s">
        <v>314</v>
      </c>
      <c r="J29" s="77" t="str">
        <f>IS!C8</f>
        <v>OCT '23</v>
      </c>
      <c r="K29" s="77" t="str">
        <f>IS!D8</f>
        <v>OCT '22</v>
      </c>
      <c r="L29" s="77" t="str">
        <f>IS!E8</f>
        <v>OCT '21</v>
      </c>
      <c r="M29" s="77" t="str">
        <f>IS!F8</f>
        <v>OCT '20</v>
      </c>
      <c r="N29" s="77" t="str">
        <f>IS!G8</f>
        <v>OCT '19</v>
      </c>
      <c r="O29" s="77" t="str">
        <f>IS!H8</f>
        <v>OCT '18</v>
      </c>
      <c r="P29" s="77" t="str">
        <f>IS!I8</f>
        <v>OCT '17</v>
      </c>
      <c r="Q29" s="77" t="str">
        <f>IS!J8</f>
        <v>OCT '16</v>
      </c>
      <c r="R29" s="77" t="str">
        <f>IS!K8</f>
        <v>OCT '15</v>
      </c>
      <c r="S29" s="77" t="str">
        <f>IS!L8</f>
        <v>OCT '14</v>
      </c>
      <c r="T29" s="77" t="str">
        <f>IS!M8</f>
        <v>OCT '13</v>
      </c>
    </row>
    <row r="30" spans="1:20" x14ac:dyDescent="0.2">
      <c r="A30" s="4" t="str">
        <f>IS!A11</f>
        <v>Sales</v>
      </c>
      <c r="B30" s="108">
        <f>C30*(1+0.025)</f>
        <v>21396.148054010217</v>
      </c>
      <c r="C30" s="108">
        <f>D30*(1+0.05)</f>
        <v>20874.290784400215</v>
      </c>
      <c r="D30" s="108">
        <f>E30*(1+0.05)</f>
        <v>19880.276937524013</v>
      </c>
      <c r="E30" s="108">
        <f t="shared" ref="E30:H30" si="2">F30*(1+0.09)</f>
        <v>18933.597083356202</v>
      </c>
      <c r="F30" s="108">
        <f t="shared" si="2"/>
        <v>17370.272553537798</v>
      </c>
      <c r="G30" s="108">
        <f t="shared" si="2"/>
        <v>15936.029865631006</v>
      </c>
      <c r="H30" s="108">
        <f t="shared" si="2"/>
        <v>14620.210885900004</v>
      </c>
      <c r="I30" s="108">
        <f>J30*(1+0.09)</f>
        <v>13413.037510000002</v>
      </c>
      <c r="J30" s="107">
        <f>IS!C11</f>
        <v>12305.539000000001</v>
      </c>
      <c r="K30" s="107">
        <f>IS!D11</f>
        <v>12013.953</v>
      </c>
      <c r="L30" s="107">
        <f>IS!E11</f>
        <v>7318.2860000000001</v>
      </c>
      <c r="M30" s="107">
        <f>IS!F11</f>
        <v>5603.0559999999996</v>
      </c>
      <c r="N30" s="107">
        <f>IS!G11</f>
        <v>5991.0649999999996</v>
      </c>
      <c r="O30" s="107">
        <f>IS!H11</f>
        <v>6224.6890000000003</v>
      </c>
      <c r="P30" s="107">
        <f>IS!I11</f>
        <v>5107.5029999999997</v>
      </c>
      <c r="Q30" s="107">
        <f>IS!J11</f>
        <v>3421.4090000000001</v>
      </c>
      <c r="R30" s="107">
        <f>IS!K11</f>
        <v>3435.0920000000001</v>
      </c>
      <c r="S30" s="107">
        <f>IS!L11</f>
        <v>2864.7730000000001</v>
      </c>
      <c r="T30" s="107">
        <f>IS!M11</f>
        <v>2633.6889999999999</v>
      </c>
    </row>
    <row r="31" spans="1:20" x14ac:dyDescent="0.2">
      <c r="A31" s="51" t="str">
        <f>IS!A25</f>
        <v>EBIT (Operating Income)</v>
      </c>
      <c r="B31" s="108">
        <f t="shared" ref="B31:H31" si="3">B30*B32</f>
        <v>6008.7495842497092</v>
      </c>
      <c r="C31" s="108">
        <f>C30*C32</f>
        <v>5862.1947163411814</v>
      </c>
      <c r="D31" s="108">
        <f t="shared" si="3"/>
        <v>5583.0425869916007</v>
      </c>
      <c r="E31" s="108">
        <f t="shared" si="3"/>
        <v>5317.1834161824763</v>
      </c>
      <c r="F31" s="108">
        <f t="shared" si="3"/>
        <v>4878.1499231031885</v>
      </c>
      <c r="G31" s="108">
        <f t="shared" si="3"/>
        <v>4475.3669019295312</v>
      </c>
      <c r="H31" s="108">
        <f t="shared" si="3"/>
        <v>4105.8411944307618</v>
      </c>
      <c r="I31" s="108">
        <f>I30*I32</f>
        <v>3766.8267838814322</v>
      </c>
      <c r="J31" s="107">
        <f>IS!C25</f>
        <v>3981.835</v>
      </c>
      <c r="K31" s="107">
        <f>IS!D25</f>
        <v>3528.6060000000002</v>
      </c>
      <c r="L31" s="107">
        <f>IS!E25</f>
        <v>1914.819</v>
      </c>
      <c r="M31" s="107">
        <f>IS!F25</f>
        <v>1573.2180000000001</v>
      </c>
      <c r="N31" s="107">
        <f>IS!G25</f>
        <v>1798.519</v>
      </c>
      <c r="O31" s="107">
        <f>IS!H25</f>
        <v>1961.29</v>
      </c>
      <c r="P31" s="107">
        <f>IS!I25</f>
        <v>1170.9880000000001</v>
      </c>
      <c r="Q31" s="107">
        <f>IS!J25</f>
        <v>1050.5899999999999</v>
      </c>
      <c r="R31" s="107">
        <f>IS!K25</f>
        <v>826.33100000000002</v>
      </c>
      <c r="S31" s="107">
        <f>IS!L25</f>
        <v>829.58600000000001</v>
      </c>
      <c r="T31" s="107">
        <f>IS!M25</f>
        <v>782.923</v>
      </c>
    </row>
    <row r="32" spans="1:20" x14ac:dyDescent="0.2">
      <c r="A32" s="51" t="s">
        <v>259</v>
      </c>
      <c r="B32" s="101">
        <f t="shared" ref="B32:H32" si="4">AVERAGE($J$32:$O$32)-1.5%</f>
        <v>0.28083324012723437</v>
      </c>
      <c r="C32" s="101">
        <f t="shared" si="4"/>
        <v>0.28083324012723437</v>
      </c>
      <c r="D32" s="101">
        <f t="shared" si="4"/>
        <v>0.28083324012723437</v>
      </c>
      <c r="E32" s="101">
        <f t="shared" si="4"/>
        <v>0.28083324012723437</v>
      </c>
      <c r="F32" s="101">
        <f t="shared" si="4"/>
        <v>0.28083324012723437</v>
      </c>
      <c r="G32" s="101">
        <f t="shared" si="4"/>
        <v>0.28083324012723437</v>
      </c>
      <c r="H32" s="101">
        <f t="shared" si="4"/>
        <v>0.28083324012723437</v>
      </c>
      <c r="I32" s="101">
        <f>AVERAGE($J$32:$O$32)-1.5%</f>
        <v>0.28083324012723437</v>
      </c>
      <c r="J32" s="127">
        <f t="shared" ref="J32:S32" si="5">J31/J30</f>
        <v>0.32358070621693208</v>
      </c>
      <c r="K32" s="127">
        <f t="shared" si="5"/>
        <v>0.29370898987202632</v>
      </c>
      <c r="L32" s="127">
        <f t="shared" si="5"/>
        <v>0.26164856087887245</v>
      </c>
      <c r="M32" s="127">
        <f t="shared" si="5"/>
        <v>0.28077856084251168</v>
      </c>
      <c r="N32" s="127">
        <f t="shared" si="5"/>
        <v>0.30020021481990267</v>
      </c>
      <c r="O32" s="127">
        <f t="shared" si="5"/>
        <v>0.31508240813316135</v>
      </c>
      <c r="P32" s="127">
        <f t="shared" si="5"/>
        <v>0.22926819622034489</v>
      </c>
      <c r="Q32" s="127">
        <f t="shared" si="5"/>
        <v>0.30706355188754103</v>
      </c>
      <c r="R32" s="127">
        <f t="shared" si="5"/>
        <v>0.24055571146274976</v>
      </c>
      <c r="S32" s="127">
        <f t="shared" si="5"/>
        <v>0.28958175743767478</v>
      </c>
      <c r="T32" s="127">
        <f>T31/T30</f>
        <v>0.29727238105941894</v>
      </c>
    </row>
    <row r="33" spans="1:20" x14ac:dyDescent="0.2">
      <c r="A33" s="51" t="str">
        <f>IS!A41</f>
        <v>Income Taxes</v>
      </c>
      <c r="B33" s="108">
        <f>B30*B34</f>
        <v>2139.6148054010218</v>
      </c>
      <c r="C33" s="108">
        <f t="shared" ref="C33:I33" si="6">C30*C34</f>
        <v>1461.2003549080152</v>
      </c>
      <c r="D33" s="108">
        <f t="shared" si="6"/>
        <v>1391.6193856266812</v>
      </c>
      <c r="E33" s="108">
        <f t="shared" si="6"/>
        <v>1325.3517958349344</v>
      </c>
      <c r="F33" s="108">
        <f t="shared" si="6"/>
        <v>868.51362767688988</v>
      </c>
      <c r="G33" s="108">
        <f t="shared" si="6"/>
        <v>796.80149328155039</v>
      </c>
      <c r="H33" s="108">
        <f t="shared" si="6"/>
        <v>731.01054429500027</v>
      </c>
      <c r="I33" s="108">
        <f t="shared" si="6"/>
        <v>670.65187550000019</v>
      </c>
      <c r="J33" s="107">
        <f>IS!C41</f>
        <v>293.42399999999998</v>
      </c>
      <c r="K33" s="107">
        <f>IS!D41</f>
        <v>350.18799999999999</v>
      </c>
      <c r="L33" s="107">
        <f>IS!E41</f>
        <v>-61.707999999999998</v>
      </c>
      <c r="M33" s="107">
        <f>IS!F41</f>
        <v>90.855999999999995</v>
      </c>
      <c r="N33" s="107">
        <f>IS!G41</f>
        <v>122.717</v>
      </c>
      <c r="O33" s="107">
        <f>IS!H41</f>
        <v>148.334</v>
      </c>
      <c r="P33" s="107">
        <f>IS!I41</f>
        <v>101.226</v>
      </c>
      <c r="Q33" s="107">
        <f>IS!J41</f>
        <v>95.257000000000005</v>
      </c>
      <c r="R33" s="107">
        <f>IS!K41</f>
        <v>113.236</v>
      </c>
      <c r="S33" s="107">
        <f>IS!L41</f>
        <v>100.02500000000001</v>
      </c>
      <c r="T33" s="107">
        <f>IS!M41</f>
        <v>141.83600000000001</v>
      </c>
    </row>
    <row r="34" spans="1:20" x14ac:dyDescent="0.2">
      <c r="A34" s="53" t="s">
        <v>305</v>
      </c>
      <c r="B34" s="102">
        <v>0.1</v>
      </c>
      <c r="C34" s="102">
        <v>7.0000000000000007E-2</v>
      </c>
      <c r="D34" s="102">
        <v>7.0000000000000007E-2</v>
      </c>
      <c r="E34" s="102">
        <v>7.0000000000000007E-2</v>
      </c>
      <c r="F34" s="102">
        <v>0.05</v>
      </c>
      <c r="G34" s="102">
        <v>0.05</v>
      </c>
      <c r="H34" s="102">
        <v>0.05</v>
      </c>
      <c r="I34" s="102">
        <v>0.05</v>
      </c>
      <c r="J34" s="127">
        <f t="shared" ref="J34:T34" si="7">J33/J30</f>
        <v>2.3844871809353491E-2</v>
      </c>
      <c r="K34" s="127">
        <f t="shared" si="7"/>
        <v>2.9148440983579677E-2</v>
      </c>
      <c r="L34" s="127">
        <f t="shared" si="7"/>
        <v>-8.4320290297482219E-3</v>
      </c>
      <c r="M34" s="127">
        <f t="shared" si="7"/>
        <v>1.621543671881916E-2</v>
      </c>
      <c r="N34" s="127">
        <f t="shared" si="7"/>
        <v>2.0483336435174717E-2</v>
      </c>
      <c r="O34" s="127">
        <f t="shared" si="7"/>
        <v>2.3829945560332411E-2</v>
      </c>
      <c r="P34" s="127">
        <f t="shared" si="7"/>
        <v>1.9819077932993874E-2</v>
      </c>
      <c r="Q34" s="127">
        <f t="shared" si="7"/>
        <v>2.7841453623346404E-2</v>
      </c>
      <c r="R34" s="127">
        <f t="shared" si="7"/>
        <v>3.2964473731707911E-2</v>
      </c>
      <c r="S34" s="127">
        <f t="shared" si="7"/>
        <v>3.4915506394398436E-2</v>
      </c>
      <c r="T34" s="127">
        <f t="shared" si="7"/>
        <v>5.3854498386104059E-2</v>
      </c>
    </row>
    <row r="35" spans="1:20" x14ac:dyDescent="0.2">
      <c r="A35" s="51" t="str">
        <f>IS!A16</f>
        <v>Depreciation</v>
      </c>
      <c r="B35" s="108">
        <f t="shared" ref="B35:H35" si="8">AVERAGE(C35:E35)*1.2</f>
        <v>667.29344438271971</v>
      </c>
      <c r="C35" s="108">
        <f>AVERAGE(D35:F35)*1.2</f>
        <v>607.59242004479984</v>
      </c>
      <c r="D35" s="108">
        <f>AVERAGE(E35:G35)*1.2</f>
        <v>554.85610803199984</v>
      </c>
      <c r="E35" s="108">
        <f>AVERAGE(F35:H35)*1.2</f>
        <v>505.78508287999989</v>
      </c>
      <c r="F35" s="108">
        <f>AVERAGE(G35:I35)*1.2</f>
        <v>458.33985919999992</v>
      </c>
      <c r="G35" s="108">
        <f t="shared" si="8"/>
        <v>423.01532799999995</v>
      </c>
      <c r="H35" s="108">
        <f t="shared" si="8"/>
        <v>383.10752000000002</v>
      </c>
      <c r="I35" s="108">
        <f>AVERAGE(J35:L35)*1.2</f>
        <v>339.72679999999997</v>
      </c>
      <c r="J35" s="107">
        <f>IS!C16</f>
        <v>334.70400000000001</v>
      </c>
      <c r="K35" s="107">
        <f>IS!D16</f>
        <v>283.33800000000002</v>
      </c>
      <c r="L35" s="107">
        <f>IS!E16</f>
        <v>231.27500000000001</v>
      </c>
      <c r="M35" s="107">
        <f>IS!F16</f>
        <v>233.77500000000001</v>
      </c>
      <c r="N35" s="107">
        <f>IS!G16</f>
        <v>240.67699999999999</v>
      </c>
      <c r="O35" s="107">
        <f>IS!H16</f>
        <v>228.52500000000001</v>
      </c>
      <c r="P35" s="107">
        <f>IS!I16</f>
        <v>194.666</v>
      </c>
      <c r="Q35" s="107">
        <f>IS!J16</f>
        <v>134.54</v>
      </c>
      <c r="R35" s="107">
        <f>IS!K16</f>
        <v>130.1</v>
      </c>
      <c r="S35" s="107">
        <f>IS!L16</f>
        <v>114.1</v>
      </c>
      <c r="T35" s="107">
        <f>IS!M16</f>
        <v>110.2</v>
      </c>
    </row>
    <row r="36" spans="1:20" x14ac:dyDescent="0.2">
      <c r="A36" s="51" t="str">
        <f>IS!A17</f>
        <v>Amortization of Intangibles</v>
      </c>
      <c r="B36" s="108">
        <f t="shared" ref="B36:H36" si="9">C36*1.05</f>
        <v>2893.4472636610567</v>
      </c>
      <c r="C36" s="108">
        <f>D36*1.05</f>
        <v>2755.6640606295778</v>
      </c>
      <c r="D36" s="108">
        <f t="shared" si="9"/>
        <v>2624.4419625043597</v>
      </c>
      <c r="E36" s="108">
        <f t="shared" si="9"/>
        <v>2499.4685357184376</v>
      </c>
      <c r="F36" s="108">
        <f>G36*1.05</f>
        <v>2380.4462244937499</v>
      </c>
      <c r="G36" s="108">
        <f t="shared" si="9"/>
        <v>2267.091642375</v>
      </c>
      <c r="H36" s="108">
        <f t="shared" si="9"/>
        <v>2159.1348975000001</v>
      </c>
      <c r="I36" s="108">
        <f>J36*1.05</f>
        <v>2056.3189499999999</v>
      </c>
      <c r="J36" s="107">
        <f>IS!C17</f>
        <v>1958.3989999999999</v>
      </c>
      <c r="K36" s="107">
        <f>IS!D17</f>
        <v>2014.1610000000001</v>
      </c>
      <c r="L36" s="107">
        <f>IS!E17</f>
        <v>843.35900000000004</v>
      </c>
      <c r="M36" s="107">
        <f>IS!F17</f>
        <v>577.14800000000002</v>
      </c>
      <c r="N36" s="107">
        <f>IS!G17</f>
        <v>570.57399999999996</v>
      </c>
      <c r="O36" s="107">
        <f>IS!H17</f>
        <v>570.53800000000001</v>
      </c>
      <c r="P36" s="107">
        <f>IS!I17</f>
        <v>389.39299999999997</v>
      </c>
      <c r="Q36" s="107">
        <f>IS!J17</f>
        <v>75.25</v>
      </c>
      <c r="R36" s="107">
        <f>IS!K17</f>
        <v>92.093000000000004</v>
      </c>
      <c r="S36" s="107">
        <f>IS!L17</f>
        <v>27.9</v>
      </c>
      <c r="T36" s="107">
        <f>IS!M17</f>
        <v>0.22</v>
      </c>
    </row>
    <row r="37" spans="1:20" ht="14.3" thickBot="1" x14ac:dyDescent="0.3">
      <c r="A37" s="49" t="s">
        <v>304</v>
      </c>
      <c r="B37" s="59">
        <f>(B31*(1-B34))+B35+B36</f>
        <v>8968.6153338685144</v>
      </c>
      <c r="C37" s="59">
        <f t="shared" ref="C37:T37" si="10">(C31*(1-C34))+C35+C36</f>
        <v>8815.0975668716746</v>
      </c>
      <c r="D37" s="59">
        <f t="shared" si="10"/>
        <v>8371.5276764385471</v>
      </c>
      <c r="E37" s="59">
        <f t="shared" si="10"/>
        <v>7950.2341956481396</v>
      </c>
      <c r="F37" s="59">
        <f t="shared" si="10"/>
        <v>7473.0285106417796</v>
      </c>
      <c r="G37" s="59">
        <f t="shared" si="10"/>
        <v>6941.7055272080543</v>
      </c>
      <c r="H37" s="59">
        <f t="shared" si="10"/>
        <v>6442.7915522092235</v>
      </c>
      <c r="I37" s="59">
        <f t="shared" si="10"/>
        <v>5974.5311946873608</v>
      </c>
      <c r="J37" s="59">
        <f t="shared" si="10"/>
        <v>6179.9916548590027</v>
      </c>
      <c r="K37" s="52">
        <f t="shared" si="10"/>
        <v>5723.2516362546958</v>
      </c>
      <c r="L37" s="52">
        <f t="shared" si="10"/>
        <v>3005.598809394713</v>
      </c>
      <c r="M37" s="52">
        <f t="shared" si="10"/>
        <v>2358.630583076093</v>
      </c>
      <c r="N37" s="52">
        <f t="shared" si="10"/>
        <v>2572.9303302379458</v>
      </c>
      <c r="O37" s="52">
        <f t="shared" si="10"/>
        <v>2713.6155660719755</v>
      </c>
      <c r="P37" s="52">
        <f t="shared" si="10"/>
        <v>1731.8390975693994</v>
      </c>
      <c r="Q37" s="52">
        <f t="shared" si="10"/>
        <v>1231.1300472378484</v>
      </c>
      <c r="R37" s="52">
        <f t="shared" si="10"/>
        <v>1021.2844334568041</v>
      </c>
      <c r="S37" s="52">
        <f t="shared" si="10"/>
        <v>942.62058471229659</v>
      </c>
      <c r="T37" s="52">
        <f t="shared" si="10"/>
        <v>851.17907456005639</v>
      </c>
    </row>
    <row r="38" spans="1:20" ht="13.6" thickTop="1" x14ac:dyDescent="0.2">
      <c r="B38" s="50"/>
      <c r="T38">
        <v>1</v>
      </c>
    </row>
    <row r="39" spans="1:20" ht="13.6" x14ac:dyDescent="0.25">
      <c r="A39" s="77" t="s">
        <v>192</v>
      </c>
      <c r="B39" s="77" t="str">
        <f t="shared" ref="B39:T39" si="11">B29</f>
        <v>OCT '31</v>
      </c>
      <c r="C39" s="77" t="str">
        <f t="shared" si="11"/>
        <v>OCT '30</v>
      </c>
      <c r="D39" s="77" t="str">
        <f t="shared" si="11"/>
        <v>OCT '29</v>
      </c>
      <c r="E39" s="77" t="str">
        <f t="shared" si="11"/>
        <v>OCT '28</v>
      </c>
      <c r="F39" s="77" t="str">
        <f t="shared" si="11"/>
        <v>OCT '27</v>
      </c>
      <c r="G39" s="77" t="str">
        <f t="shared" si="11"/>
        <v>OCT '26</v>
      </c>
      <c r="H39" s="77" t="str">
        <f t="shared" si="11"/>
        <v>OCT '25</v>
      </c>
      <c r="I39" s="77" t="str">
        <f>I29</f>
        <v>OCT '24</v>
      </c>
      <c r="J39" s="77" t="str">
        <f t="shared" si="11"/>
        <v>OCT '23</v>
      </c>
      <c r="K39" s="77" t="str">
        <f t="shared" si="11"/>
        <v>OCT '22</v>
      </c>
      <c r="L39" s="77" t="str">
        <f t="shared" si="11"/>
        <v>OCT '21</v>
      </c>
      <c r="M39" s="77" t="str">
        <f t="shared" si="11"/>
        <v>OCT '20</v>
      </c>
      <c r="N39" s="77" t="str">
        <f t="shared" si="11"/>
        <v>OCT '19</v>
      </c>
      <c r="O39" s="77" t="str">
        <f t="shared" si="11"/>
        <v>OCT '18</v>
      </c>
      <c r="P39" s="77" t="str">
        <f t="shared" si="11"/>
        <v>OCT '17</v>
      </c>
      <c r="Q39" s="77" t="str">
        <f t="shared" si="11"/>
        <v>OCT '16</v>
      </c>
      <c r="R39" s="77" t="str">
        <f t="shared" si="11"/>
        <v>OCT '15</v>
      </c>
      <c r="S39" s="77" t="str">
        <f t="shared" si="11"/>
        <v>OCT '14</v>
      </c>
      <c r="T39" s="77" t="str">
        <f t="shared" si="11"/>
        <v>OCT '13</v>
      </c>
    </row>
    <row r="40" spans="1:20" x14ac:dyDescent="0.2">
      <c r="A40" s="4" t="str">
        <f>BS!A29</f>
        <v>Net Property, Plant &amp; Equipment</v>
      </c>
      <c r="B40" s="108">
        <f t="shared" ref="B40:H40" si="12">B41*B30</f>
        <v>5168.5639044733289</v>
      </c>
      <c r="C40" s="108">
        <f t="shared" si="12"/>
        <v>5042.5013702178821</v>
      </c>
      <c r="D40" s="108">
        <f t="shared" si="12"/>
        <v>4802.3822573503639</v>
      </c>
      <c r="E40" s="108">
        <f t="shared" si="12"/>
        <v>4573.6973879527277</v>
      </c>
      <c r="F40" s="108">
        <f t="shared" si="12"/>
        <v>4196.052649497914</v>
      </c>
      <c r="G40" s="108">
        <f t="shared" si="12"/>
        <v>3849.5895866953342</v>
      </c>
      <c r="H40" s="108">
        <f t="shared" si="12"/>
        <v>3531.7335657755352</v>
      </c>
      <c r="I40" s="108">
        <f>I41*I30</f>
        <v>3240.1225374087476</v>
      </c>
      <c r="J40" s="107">
        <f>BS!B29</f>
        <v>3496.377</v>
      </c>
      <c r="K40" s="107">
        <f>BS!C29</f>
        <v>2664.3009999999999</v>
      </c>
      <c r="L40" s="107">
        <f>BS!D29</f>
        <v>2258.5929999999998</v>
      </c>
      <c r="M40" s="107">
        <f>BS!E29</f>
        <v>1377.1859999999999</v>
      </c>
      <c r="N40" s="107">
        <f>BS!F29</f>
        <v>1219.989</v>
      </c>
      <c r="O40" s="107">
        <f>BS!G29</f>
        <v>1154.328</v>
      </c>
      <c r="P40" s="107">
        <f>BS!H29</f>
        <v>1107.3040000000001</v>
      </c>
      <c r="Q40" s="107">
        <f>BS!I29</f>
        <v>636.11599999999999</v>
      </c>
      <c r="R40" s="107">
        <f>BS!J29</f>
        <v>644.11</v>
      </c>
      <c r="S40" s="107">
        <f>BS!K29</f>
        <v>622.42200000000003</v>
      </c>
      <c r="T40" s="107">
        <f>BS!L29</f>
        <v>508.17099999999999</v>
      </c>
    </row>
    <row r="41" spans="1:20" x14ac:dyDescent="0.2">
      <c r="A41" s="63" t="s">
        <v>322</v>
      </c>
      <c r="B41" s="101">
        <f t="shared" ref="B41:H41" si="13">AVERAGE($J$41:$O$41)</f>
        <v>0.24156515889805688</v>
      </c>
      <c r="C41" s="101">
        <f t="shared" si="13"/>
        <v>0.24156515889805688</v>
      </c>
      <c r="D41" s="101">
        <f t="shared" si="13"/>
        <v>0.24156515889805688</v>
      </c>
      <c r="E41" s="101">
        <f t="shared" si="13"/>
        <v>0.24156515889805688</v>
      </c>
      <c r="F41" s="101">
        <f t="shared" si="13"/>
        <v>0.24156515889805688</v>
      </c>
      <c r="G41" s="101">
        <f t="shared" si="13"/>
        <v>0.24156515889805688</v>
      </c>
      <c r="H41" s="101">
        <f t="shared" si="13"/>
        <v>0.24156515889805688</v>
      </c>
      <c r="I41" s="101">
        <f>AVERAGE($J$41:$O$41)</f>
        <v>0.24156515889805688</v>
      </c>
      <c r="J41" s="127">
        <f t="shared" ref="J41:S41" si="14">J40/J30</f>
        <v>0.28413034162908263</v>
      </c>
      <c r="K41" s="127">
        <f t="shared" si="14"/>
        <v>0.22176722349421543</v>
      </c>
      <c r="L41" s="127">
        <f t="shared" si="14"/>
        <v>0.30862322133898562</v>
      </c>
      <c r="M41" s="127">
        <f t="shared" si="14"/>
        <v>0.24579193925600601</v>
      </c>
      <c r="N41" s="127">
        <f t="shared" si="14"/>
        <v>0.20363474607603158</v>
      </c>
      <c r="O41" s="127">
        <f t="shared" si="14"/>
        <v>0.18544348159402019</v>
      </c>
      <c r="P41" s="127">
        <f t="shared" si="14"/>
        <v>0.21679948107715261</v>
      </c>
      <c r="Q41" s="127">
        <f t="shared" si="14"/>
        <v>0.18592223262404464</v>
      </c>
      <c r="R41" s="127">
        <f t="shared" si="14"/>
        <v>0.18750880616880131</v>
      </c>
      <c r="S41" s="127">
        <f t="shared" si="14"/>
        <v>0.21726747634105739</v>
      </c>
      <c r="T41" s="127">
        <f>T40/T30</f>
        <v>0.19295026861561862</v>
      </c>
    </row>
    <row r="42" spans="1:20" x14ac:dyDescent="0.2">
      <c r="A42" s="4" t="str">
        <f>A35</f>
        <v>Depreciation</v>
      </c>
      <c r="B42" s="108">
        <f>B35</f>
        <v>667.29344438271971</v>
      </c>
      <c r="C42" s="108">
        <f t="shared" ref="C42:T43" si="15">C35</f>
        <v>607.59242004479984</v>
      </c>
      <c r="D42" s="108">
        <f t="shared" si="15"/>
        <v>554.85610803199984</v>
      </c>
      <c r="E42" s="108">
        <f t="shared" si="15"/>
        <v>505.78508287999989</v>
      </c>
      <c r="F42" s="108">
        <f t="shared" si="15"/>
        <v>458.33985919999992</v>
      </c>
      <c r="G42" s="108">
        <f t="shared" si="15"/>
        <v>423.01532799999995</v>
      </c>
      <c r="H42" s="108">
        <f t="shared" si="15"/>
        <v>383.10752000000002</v>
      </c>
      <c r="I42" s="108">
        <f t="shared" si="15"/>
        <v>339.72679999999997</v>
      </c>
      <c r="J42" s="107">
        <f t="shared" si="15"/>
        <v>334.70400000000001</v>
      </c>
      <c r="K42" s="107">
        <f t="shared" si="15"/>
        <v>283.33800000000002</v>
      </c>
      <c r="L42" s="107">
        <f t="shared" si="15"/>
        <v>231.27500000000001</v>
      </c>
      <c r="M42" s="107">
        <f t="shared" si="15"/>
        <v>233.77500000000001</v>
      </c>
      <c r="N42" s="107">
        <f t="shared" si="15"/>
        <v>240.67699999999999</v>
      </c>
      <c r="O42" s="107">
        <f t="shared" si="15"/>
        <v>228.52500000000001</v>
      </c>
      <c r="P42" s="107">
        <f t="shared" si="15"/>
        <v>194.666</v>
      </c>
      <c r="Q42" s="107">
        <f t="shared" si="15"/>
        <v>134.54</v>
      </c>
      <c r="R42" s="107">
        <f t="shared" si="15"/>
        <v>130.1</v>
      </c>
      <c r="S42" s="107">
        <f t="shared" si="15"/>
        <v>114.1</v>
      </c>
      <c r="T42" s="107">
        <f t="shared" si="15"/>
        <v>110.2</v>
      </c>
    </row>
    <row r="43" spans="1:20" x14ac:dyDescent="0.2">
      <c r="A43" s="4" t="str">
        <f>A36</f>
        <v>Amortization of Intangibles</v>
      </c>
      <c r="B43" s="108">
        <f>B36</f>
        <v>2893.4472636610567</v>
      </c>
      <c r="C43" s="108">
        <f t="shared" si="15"/>
        <v>2755.6640606295778</v>
      </c>
      <c r="D43" s="108">
        <f t="shared" si="15"/>
        <v>2624.4419625043597</v>
      </c>
      <c r="E43" s="108">
        <f t="shared" si="15"/>
        <v>2499.4685357184376</v>
      </c>
      <c r="F43" s="108">
        <f t="shared" si="15"/>
        <v>2380.4462244937499</v>
      </c>
      <c r="G43" s="108">
        <f t="shared" si="15"/>
        <v>2267.091642375</v>
      </c>
      <c r="H43" s="108">
        <f t="shared" si="15"/>
        <v>2159.1348975000001</v>
      </c>
      <c r="I43" s="108">
        <f t="shared" si="15"/>
        <v>2056.3189499999999</v>
      </c>
      <c r="J43" s="107">
        <f t="shared" si="15"/>
        <v>1958.3989999999999</v>
      </c>
      <c r="K43" s="107">
        <f t="shared" si="15"/>
        <v>2014.1610000000001</v>
      </c>
      <c r="L43" s="107">
        <f t="shared" si="15"/>
        <v>843.35900000000004</v>
      </c>
      <c r="M43" s="107">
        <f t="shared" si="15"/>
        <v>577.14800000000002</v>
      </c>
      <c r="N43" s="107">
        <f t="shared" si="15"/>
        <v>570.57399999999996</v>
      </c>
      <c r="O43" s="107">
        <f t="shared" si="15"/>
        <v>570.53800000000001</v>
      </c>
      <c r="P43" s="107">
        <f t="shared" si="15"/>
        <v>389.39299999999997</v>
      </c>
      <c r="Q43" s="107">
        <f t="shared" si="15"/>
        <v>75.25</v>
      </c>
      <c r="R43" s="107">
        <f t="shared" si="15"/>
        <v>92.093000000000004</v>
      </c>
      <c r="S43" s="107">
        <f t="shared" si="15"/>
        <v>27.9</v>
      </c>
      <c r="T43" s="107">
        <f t="shared" si="15"/>
        <v>0.22</v>
      </c>
    </row>
    <row r="44" spans="1:20" ht="14.3" thickBot="1" x14ac:dyDescent="0.3">
      <c r="A44" s="49" t="s">
        <v>306</v>
      </c>
      <c r="B44" s="59">
        <f>(B40-C40)+(B42+B43)</f>
        <v>3686.8032422992233</v>
      </c>
      <c r="C44" s="59">
        <f>(C40-D40)+(C42+C43)</f>
        <v>3603.3755935418958</v>
      </c>
      <c r="D44" s="59">
        <f t="shared" ref="D44:S44" si="16">(D40-E40)+(D42+D43)</f>
        <v>3407.982939933996</v>
      </c>
      <c r="E44" s="59">
        <f t="shared" si="16"/>
        <v>3382.8983570532509</v>
      </c>
      <c r="F44" s="59">
        <f>(F40-G40)+(F42+F43)</f>
        <v>3185.2491464963296</v>
      </c>
      <c r="G44" s="59">
        <f t="shared" si="16"/>
        <v>3007.9629912947989</v>
      </c>
      <c r="H44" s="59">
        <f t="shared" si="16"/>
        <v>2833.8534458667878</v>
      </c>
      <c r="I44" s="59">
        <f t="shared" si="16"/>
        <v>2139.7912874087474</v>
      </c>
      <c r="J44" s="59">
        <f t="shared" si="16"/>
        <v>3125.1790000000001</v>
      </c>
      <c r="K44" s="52">
        <f t="shared" si="16"/>
        <v>2703.2070000000003</v>
      </c>
      <c r="L44" s="52">
        <f t="shared" si="16"/>
        <v>1956.0409999999999</v>
      </c>
      <c r="M44" s="52">
        <f t="shared" si="16"/>
        <v>968.11999999999989</v>
      </c>
      <c r="N44" s="52">
        <f t="shared" si="16"/>
        <v>876.91200000000003</v>
      </c>
      <c r="O44" s="52">
        <f t="shared" si="16"/>
        <v>846.08699999999988</v>
      </c>
      <c r="P44" s="52">
        <f t="shared" si="16"/>
        <v>1055.2470000000001</v>
      </c>
      <c r="Q44" s="52">
        <f t="shared" si="16"/>
        <v>201.79599999999996</v>
      </c>
      <c r="R44" s="52">
        <f t="shared" si="16"/>
        <v>243.88099999999997</v>
      </c>
      <c r="S44" s="52">
        <f t="shared" si="16"/>
        <v>256.25100000000003</v>
      </c>
      <c r="T44" s="52"/>
    </row>
    <row r="45" spans="1:20" ht="13.6" thickTop="1" x14ac:dyDescent="0.2"/>
    <row r="46" spans="1:20" ht="13.6" x14ac:dyDescent="0.25">
      <c r="A46" s="77" t="s">
        <v>307</v>
      </c>
      <c r="B46" s="77" t="str">
        <f t="shared" ref="B46:T46" si="17">B39</f>
        <v>OCT '31</v>
      </c>
      <c r="C46" s="77" t="str">
        <f t="shared" si="17"/>
        <v>OCT '30</v>
      </c>
      <c r="D46" s="77" t="str">
        <f t="shared" si="17"/>
        <v>OCT '29</v>
      </c>
      <c r="E46" s="77" t="str">
        <f t="shared" si="17"/>
        <v>OCT '28</v>
      </c>
      <c r="F46" s="77" t="str">
        <f t="shared" si="17"/>
        <v>OCT '27</v>
      </c>
      <c r="G46" s="77" t="str">
        <f t="shared" si="17"/>
        <v>OCT '26</v>
      </c>
      <c r="H46" s="77" t="str">
        <f t="shared" si="17"/>
        <v>OCT '25</v>
      </c>
      <c r="I46" s="77" t="str">
        <f t="shared" si="17"/>
        <v>OCT '24</v>
      </c>
      <c r="J46" s="77" t="str">
        <f t="shared" si="17"/>
        <v>OCT '23</v>
      </c>
      <c r="K46" s="77" t="str">
        <f t="shared" si="17"/>
        <v>OCT '22</v>
      </c>
      <c r="L46" s="77" t="str">
        <f t="shared" si="17"/>
        <v>OCT '21</v>
      </c>
      <c r="M46" s="77" t="str">
        <f t="shared" si="17"/>
        <v>OCT '20</v>
      </c>
      <c r="N46" s="77" t="str">
        <f t="shared" si="17"/>
        <v>OCT '19</v>
      </c>
      <c r="O46" s="77" t="str">
        <f t="shared" si="17"/>
        <v>OCT '18</v>
      </c>
      <c r="P46" s="77" t="str">
        <f t="shared" si="17"/>
        <v>OCT '17</v>
      </c>
      <c r="Q46" s="77" t="str">
        <f t="shared" si="17"/>
        <v>OCT '16</v>
      </c>
      <c r="R46" s="77" t="str">
        <f t="shared" si="17"/>
        <v>OCT '15</v>
      </c>
      <c r="S46" s="77" t="str">
        <f t="shared" si="17"/>
        <v>OCT '14</v>
      </c>
      <c r="T46" s="77" t="str">
        <f t="shared" si="17"/>
        <v>OCT '13</v>
      </c>
    </row>
    <row r="47" spans="1:20" x14ac:dyDescent="0.2">
      <c r="A47" s="56" t="s">
        <v>308</v>
      </c>
    </row>
    <row r="48" spans="1:20" x14ac:dyDescent="0.2">
      <c r="A48" s="51" t="str">
        <f>BS!A12</f>
        <v>Cash &amp; Short-Term Investments</v>
      </c>
      <c r="B48" s="108">
        <f t="shared" ref="B48:I51" si="18">AVERAGE(C48:E48)*1.1</f>
        <v>1976.5469544123005</v>
      </c>
      <c r="C48" s="108">
        <f t="shared" si="18"/>
        <v>1897.4136949044232</v>
      </c>
      <c r="D48" s="108">
        <f t="shared" si="18"/>
        <v>1787.4305838749622</v>
      </c>
      <c r="E48" s="108">
        <f t="shared" si="18"/>
        <v>1705.7383241632513</v>
      </c>
      <c r="F48" s="108">
        <f t="shared" si="18"/>
        <v>1681.5957144283955</v>
      </c>
      <c r="G48" s="108">
        <f t="shared" si="18"/>
        <v>1487.4766447037039</v>
      </c>
      <c r="H48" s="108">
        <f t="shared" si="18"/>
        <v>1482.9412522222224</v>
      </c>
      <c r="I48" s="108">
        <f>AVERAGE(J48:L48)*1.1</f>
        <v>1615.7522333333334</v>
      </c>
      <c r="J48" s="107">
        <f>BS!B12</f>
        <v>958.06100000000004</v>
      </c>
      <c r="K48" s="107">
        <f>BS!C12</f>
        <v>1470.5719999999999</v>
      </c>
      <c r="L48" s="107">
        <f>BS!D12</f>
        <v>1977.9639999999999</v>
      </c>
      <c r="M48" s="107">
        <f>BS!E12</f>
        <v>1055.8599999999999</v>
      </c>
      <c r="N48" s="107">
        <f>BS!F12</f>
        <v>648.322</v>
      </c>
      <c r="O48" s="107">
        <f>BS!G12</f>
        <v>816.59100000000001</v>
      </c>
      <c r="P48" s="107">
        <f>BS!H12</f>
        <v>1047.838</v>
      </c>
      <c r="Q48" s="107">
        <f>BS!I12</f>
        <v>4055.7930000000001</v>
      </c>
      <c r="R48" s="107">
        <f>BS!J12</f>
        <v>3028.9279999999999</v>
      </c>
      <c r="S48" s="107">
        <f>BS!K12</f>
        <v>2866.4679999999998</v>
      </c>
      <c r="T48" s="107">
        <f>BS!L12</f>
        <v>4682.9120000000003</v>
      </c>
    </row>
    <row r="49" spans="1:20" x14ac:dyDescent="0.2">
      <c r="A49" s="51" t="str">
        <f>BS!A15</f>
        <v>Short-Term Receivables</v>
      </c>
      <c r="B49" s="108">
        <f t="shared" si="18"/>
        <v>2394.8108120129655</v>
      </c>
      <c r="C49" s="108">
        <f t="shared" si="18"/>
        <v>2285.140425009547</v>
      </c>
      <c r="D49" s="108">
        <f t="shared" si="18"/>
        <v>2167.7296423032822</v>
      </c>
      <c r="E49" s="108">
        <f t="shared" si="18"/>
        <v>2078.4321472679844</v>
      </c>
      <c r="F49" s="108">
        <f t="shared" si="18"/>
        <v>1986.0393695456796</v>
      </c>
      <c r="G49" s="108">
        <f t="shared" si="18"/>
        <v>1847.5184167407413</v>
      </c>
      <c r="H49" s="108">
        <f t="shared" si="18"/>
        <v>1834.8935244444447</v>
      </c>
      <c r="I49" s="108">
        <f t="shared" si="18"/>
        <v>1734.0590666666671</v>
      </c>
      <c r="J49" s="107">
        <f>BS!B15</f>
        <v>1469.7339999999999</v>
      </c>
      <c r="K49" s="107">
        <f>BS!C15</f>
        <v>1800.462</v>
      </c>
      <c r="L49" s="107">
        <f>BS!D15</f>
        <v>1459.056</v>
      </c>
      <c r="M49" s="107">
        <f>BS!E15</f>
        <v>737.53599999999994</v>
      </c>
      <c r="N49" s="107">
        <f>BS!F15</f>
        <v>635.13599999999997</v>
      </c>
      <c r="O49" s="107">
        <f>BS!G15</f>
        <v>639.71699999999998</v>
      </c>
      <c r="P49" s="107">
        <f>BS!H15</f>
        <v>688.95299999999997</v>
      </c>
      <c r="Q49" s="107">
        <f>BS!I15</f>
        <v>477.60899999999998</v>
      </c>
      <c r="R49" s="107">
        <f>BS!J15</f>
        <v>466.52699999999999</v>
      </c>
      <c r="S49" s="107">
        <f>BS!K15</f>
        <v>396.60500000000002</v>
      </c>
      <c r="T49" s="107">
        <f>BS!L15</f>
        <v>325.14400000000001</v>
      </c>
    </row>
    <row r="50" spans="1:20" x14ac:dyDescent="0.2">
      <c r="A50" s="51" t="str">
        <f>BS!A19</f>
        <v>Inventories</v>
      </c>
      <c r="B50" s="108">
        <f t="shared" si="18"/>
        <v>2252.475446334407</v>
      </c>
      <c r="C50" s="108">
        <f t="shared" si="18"/>
        <v>2143.1938928179493</v>
      </c>
      <c r="D50" s="108">
        <f t="shared" si="18"/>
        <v>2048.6240146526998</v>
      </c>
      <c r="E50" s="108">
        <f t="shared" si="18"/>
        <v>1951.2969461686425</v>
      </c>
      <c r="F50" s="108">
        <f t="shared" si="18"/>
        <v>1845.1532923185189</v>
      </c>
      <c r="G50" s="108">
        <f t="shared" si="18"/>
        <v>1790.7061651111112</v>
      </c>
      <c r="H50" s="108">
        <f t="shared" si="18"/>
        <v>1685.8594866666667</v>
      </c>
      <c r="I50" s="108">
        <f t="shared" si="18"/>
        <v>1555.6705999999999</v>
      </c>
      <c r="J50" s="107">
        <f>BS!B19</f>
        <v>1642.2139999999999</v>
      </c>
      <c r="K50" s="107">
        <f>BS!C19</f>
        <v>1399.914</v>
      </c>
      <c r="L50" s="107">
        <f>BS!D19</f>
        <v>1200.6099999999999</v>
      </c>
      <c r="M50" s="107">
        <f>BS!E19</f>
        <v>608.26</v>
      </c>
      <c r="N50" s="107">
        <f>BS!F19</f>
        <v>609.88599999999997</v>
      </c>
      <c r="O50" s="107">
        <f>BS!G19</f>
        <v>586.76</v>
      </c>
      <c r="P50" s="107">
        <f>BS!H19</f>
        <v>550.81600000000003</v>
      </c>
      <c r="Q50" s="107">
        <f>BS!I19</f>
        <v>376.55500000000001</v>
      </c>
      <c r="R50" s="107">
        <f>BS!J19</f>
        <v>412.31400000000002</v>
      </c>
      <c r="S50" s="107">
        <f>BS!K19</f>
        <v>367.92700000000002</v>
      </c>
      <c r="T50" s="107">
        <f>BS!L19</f>
        <v>283.33699999999999</v>
      </c>
    </row>
    <row r="51" spans="1:20" x14ac:dyDescent="0.2">
      <c r="A51" s="51" t="str">
        <f>BS!A23</f>
        <v>Other Current Assets</v>
      </c>
      <c r="B51" s="110">
        <f t="shared" si="18"/>
        <v>561.53797641133599</v>
      </c>
      <c r="C51" s="110">
        <f t="shared" si="18"/>
        <v>539.9000123664398</v>
      </c>
      <c r="D51" s="110">
        <f t="shared" si="18"/>
        <v>512.05557683000563</v>
      </c>
      <c r="E51" s="110">
        <f t="shared" si="18"/>
        <v>479.51161919810716</v>
      </c>
      <c r="F51" s="110">
        <f t="shared" si="18"/>
        <v>480.8873831530866</v>
      </c>
      <c r="G51" s="110">
        <f t="shared" si="18"/>
        <v>436.11620718518526</v>
      </c>
      <c r="H51" s="110">
        <f t="shared" si="18"/>
        <v>390.75537111111117</v>
      </c>
      <c r="I51" s="110">
        <f t="shared" si="18"/>
        <v>484.63946666666675</v>
      </c>
      <c r="J51" s="109">
        <f>BS!B23</f>
        <v>314.01299999999998</v>
      </c>
      <c r="K51" s="109">
        <f>BS!C23</f>
        <v>267.04399999999998</v>
      </c>
      <c r="L51" s="109">
        <f>BS!D23</f>
        <v>740.68700000000001</v>
      </c>
      <c r="M51" s="109">
        <f>BS!E23</f>
        <v>116.032</v>
      </c>
      <c r="N51" s="109">
        <f>BS!F23</f>
        <v>91.781999999999996</v>
      </c>
      <c r="O51" s="109">
        <f>BS!G23</f>
        <v>69.058000000000007</v>
      </c>
      <c r="P51" s="109">
        <f>BS!H23</f>
        <v>63.731000000000002</v>
      </c>
      <c r="Q51" s="109">
        <f>BS!I23</f>
        <v>64.906000000000006</v>
      </c>
      <c r="R51" s="109">
        <f>BS!J23</f>
        <v>171.779</v>
      </c>
      <c r="S51" s="109">
        <f>BS!K23</f>
        <v>180.886</v>
      </c>
      <c r="T51" s="109">
        <f>BS!L23</f>
        <v>181.03200000000001</v>
      </c>
    </row>
    <row r="52" spans="1:20" x14ac:dyDescent="0.2">
      <c r="A52" s="4" t="str">
        <f>BS!A26</f>
        <v>Total Current Assets</v>
      </c>
      <c r="B52" s="108">
        <f t="shared" ref="B52" si="19">SUM(B48:B51)</f>
        <v>7185.3711891710091</v>
      </c>
      <c r="C52" s="108">
        <f t="shared" ref="C52:T52" si="20">SUM(C48:C51)</f>
        <v>6865.6480250983595</v>
      </c>
      <c r="D52" s="108">
        <f t="shared" si="20"/>
        <v>6515.8398176609498</v>
      </c>
      <c r="E52" s="108">
        <f t="shared" si="20"/>
        <v>6214.9790367979849</v>
      </c>
      <c r="F52" s="108">
        <f t="shared" si="20"/>
        <v>5993.6757594456803</v>
      </c>
      <c r="G52" s="108">
        <f t="shared" si="20"/>
        <v>5561.8174337407418</v>
      </c>
      <c r="H52" s="108">
        <f t="shared" si="20"/>
        <v>5394.4496344444451</v>
      </c>
      <c r="I52" s="108">
        <f t="shared" si="20"/>
        <v>5390.1213666666672</v>
      </c>
      <c r="J52" s="107">
        <f t="shared" si="20"/>
        <v>4384.0219999999999</v>
      </c>
      <c r="K52" s="107">
        <f t="shared" si="20"/>
        <v>4937.9919999999993</v>
      </c>
      <c r="L52" s="107">
        <f t="shared" si="20"/>
        <v>5378.317</v>
      </c>
      <c r="M52" s="107">
        <f t="shared" si="20"/>
        <v>2517.6880000000001</v>
      </c>
      <c r="N52" s="107">
        <f t="shared" si="20"/>
        <v>1985.126</v>
      </c>
      <c r="O52" s="107">
        <f t="shared" si="20"/>
        <v>2112.1260000000002</v>
      </c>
      <c r="P52" s="107">
        <f t="shared" si="20"/>
        <v>2351.3380000000002</v>
      </c>
      <c r="Q52" s="107">
        <f t="shared" si="20"/>
        <v>4974.8630000000003</v>
      </c>
      <c r="R52" s="107">
        <f t="shared" si="20"/>
        <v>4079.5479999999998</v>
      </c>
      <c r="S52" s="107">
        <f t="shared" si="20"/>
        <v>3811.886</v>
      </c>
      <c r="T52" s="107">
        <f t="shared" si="20"/>
        <v>5472.4250000000002</v>
      </c>
    </row>
    <row r="53" spans="1:20" x14ac:dyDescent="0.2">
      <c r="A53" s="55" t="s">
        <v>309</v>
      </c>
      <c r="B53" s="108"/>
      <c r="C53" s="108"/>
      <c r="D53" s="108"/>
      <c r="E53" s="108"/>
      <c r="F53" s="108"/>
      <c r="G53" s="108"/>
      <c r="H53" s="108"/>
      <c r="I53" s="108"/>
      <c r="J53" s="95"/>
      <c r="K53" s="95"/>
      <c r="L53" s="95"/>
      <c r="M53" s="95"/>
      <c r="N53" s="95"/>
      <c r="O53" s="95"/>
      <c r="P53" s="95"/>
      <c r="Q53" s="95"/>
      <c r="R53" s="95"/>
      <c r="S53" s="95"/>
      <c r="T53" s="95"/>
    </row>
    <row r="54" spans="1:20" x14ac:dyDescent="0.2">
      <c r="A54" s="51" t="str">
        <f>BS!A50</f>
        <v>Accounts Payable</v>
      </c>
      <c r="B54" s="108">
        <f t="shared" ref="B54:I57" si="21">AVERAGE(C54:E54)*1.1</f>
        <v>780.38830318513919</v>
      </c>
      <c r="C54" s="108">
        <f t="shared" si="21"/>
        <v>744.11635195464874</v>
      </c>
      <c r="D54" s="108">
        <f t="shared" si="21"/>
        <v>706.62386314206458</v>
      </c>
      <c r="E54" s="108">
        <f t="shared" si="21"/>
        <v>677.59152086275731</v>
      </c>
      <c r="F54" s="108">
        <f t="shared" si="21"/>
        <v>645.19284859876552</v>
      </c>
      <c r="G54" s="108">
        <f t="shared" si="21"/>
        <v>604.37162092592598</v>
      </c>
      <c r="H54" s="108">
        <f t="shared" si="21"/>
        <v>598.41240555555555</v>
      </c>
      <c r="I54" s="108">
        <f t="shared" si="21"/>
        <v>556.83283333333338</v>
      </c>
      <c r="J54" s="107">
        <f>BS!B50</f>
        <v>493.041</v>
      </c>
      <c r="K54" s="107">
        <f>BS!C50</f>
        <v>582.16</v>
      </c>
      <c r="L54" s="107">
        <f>BS!D50</f>
        <v>443.43400000000003</v>
      </c>
      <c r="M54" s="107">
        <f>BS!E50</f>
        <v>227.273</v>
      </c>
      <c r="N54" s="107">
        <f>BS!F50</f>
        <v>225.27</v>
      </c>
      <c r="O54" s="107">
        <f>BS!G50</f>
        <v>260.91899999999998</v>
      </c>
      <c r="P54" s="107">
        <f>BS!H50</f>
        <v>236.62899999999999</v>
      </c>
      <c r="Q54" s="107">
        <f>BS!I50</f>
        <v>171.43899999999999</v>
      </c>
      <c r="R54" s="107">
        <f>BS!J50</f>
        <v>174.24700000000001</v>
      </c>
      <c r="S54" s="107">
        <f>BS!K50</f>
        <v>138.96700000000001</v>
      </c>
      <c r="T54" s="107">
        <f>BS!L50</f>
        <v>119.994</v>
      </c>
    </row>
    <row r="55" spans="1:20" x14ac:dyDescent="0.2">
      <c r="A55" s="51" t="str">
        <f>BS!A51</f>
        <v>Income Tax Payable</v>
      </c>
      <c r="B55" s="108">
        <f t="shared" si="21"/>
        <v>491.58935488362698</v>
      </c>
      <c r="C55" s="108">
        <f t="shared" si="21"/>
        <v>468.5912947534519</v>
      </c>
      <c r="D55" s="108">
        <f t="shared" si="21"/>
        <v>447.43204086747608</v>
      </c>
      <c r="E55" s="108">
        <f t="shared" si="21"/>
        <v>424.67490497078194</v>
      </c>
      <c r="F55" s="108">
        <f t="shared" si="21"/>
        <v>405.86931258024697</v>
      </c>
      <c r="G55" s="108">
        <f t="shared" si="21"/>
        <v>389.72498481481483</v>
      </c>
      <c r="H55" s="108">
        <f t="shared" si="21"/>
        <v>362.60998888888889</v>
      </c>
      <c r="I55" s="108">
        <f t="shared" si="21"/>
        <v>354.5813333333333</v>
      </c>
      <c r="J55" s="107">
        <f>BS!B51</f>
        <v>345.69499999999999</v>
      </c>
      <c r="K55" s="107">
        <f>BS!C51</f>
        <v>288.66000000000003</v>
      </c>
      <c r="L55" s="107">
        <f>BS!D51</f>
        <v>332.685</v>
      </c>
      <c r="M55" s="107">
        <f>BS!E51</f>
        <v>182.08</v>
      </c>
      <c r="N55" s="107">
        <f>BS!F51</f>
        <v>187.87899999999999</v>
      </c>
      <c r="O55" s="107">
        <f>BS!G51</f>
        <v>93.721999999999994</v>
      </c>
      <c r="P55" s="107">
        <f>BS!H51</f>
        <v>86.905000000000001</v>
      </c>
      <c r="Q55" s="107">
        <f>BS!I51</f>
        <v>4.0999999999999996</v>
      </c>
      <c r="R55" s="107">
        <f>BS!J51</f>
        <v>15.061999999999999</v>
      </c>
      <c r="S55" s="107">
        <f>BS!K51</f>
        <v>62.77</v>
      </c>
      <c r="T55" s="107">
        <f>BS!L51</f>
        <v>45.49</v>
      </c>
    </row>
    <row r="56" spans="1:20" x14ac:dyDescent="0.2">
      <c r="A56" s="51" t="str">
        <f>BS!A53</f>
        <v>Accrued Payroll</v>
      </c>
      <c r="B56" s="108">
        <f t="shared" si="21"/>
        <v>566.49439729406947</v>
      </c>
      <c r="C56" s="108">
        <f t="shared" si="21"/>
        <v>541.57903129541978</v>
      </c>
      <c r="D56" s="108">
        <f t="shared" si="21"/>
        <v>511.42628222609756</v>
      </c>
      <c r="E56" s="108">
        <f t="shared" si="21"/>
        <v>491.97940637139936</v>
      </c>
      <c r="F56" s="108">
        <f t="shared" si="21"/>
        <v>473.62803311728413</v>
      </c>
      <c r="G56" s="108">
        <f t="shared" si="21"/>
        <v>429.19151203703711</v>
      </c>
      <c r="H56" s="108">
        <f t="shared" si="21"/>
        <v>438.94247222222231</v>
      </c>
      <c r="I56" s="108">
        <f t="shared" si="21"/>
        <v>423.57883333333342</v>
      </c>
      <c r="J56" s="107">
        <f>BS!B53</f>
        <v>308.00099999999998</v>
      </c>
      <c r="K56" s="107">
        <f>BS!C53</f>
        <v>465.536</v>
      </c>
      <c r="L56" s="107">
        <f>BS!D53</f>
        <v>381.678</v>
      </c>
      <c r="M56" s="107">
        <f>BS!E53</f>
        <v>163.75200000000001</v>
      </c>
      <c r="N56" s="107">
        <f>BS!F53</f>
        <v>168.471</v>
      </c>
      <c r="O56" s="107">
        <f>BS!G53</f>
        <v>254.93199999999999</v>
      </c>
      <c r="P56" s="107">
        <f>BS!H53</f>
        <v>271.32100000000003</v>
      </c>
      <c r="Q56" s="107">
        <f>BS!I53</f>
        <v>112.003</v>
      </c>
      <c r="R56" s="107">
        <f>BS!J53</f>
        <v>125.5</v>
      </c>
      <c r="S56" s="107">
        <f>BS!K53</f>
        <v>101.307</v>
      </c>
      <c r="T56" s="107">
        <f>BS!L53</f>
        <v>71.093999999999994</v>
      </c>
    </row>
    <row r="57" spans="1:20" x14ac:dyDescent="0.2">
      <c r="A57" s="51" t="str">
        <f>BS!A54</f>
        <v>Miscellaneous Current Liabilities</v>
      </c>
      <c r="B57" s="110">
        <f t="shared" si="21"/>
        <v>1511.7212565152809</v>
      </c>
      <c r="C57" s="110">
        <f t="shared" si="21"/>
        <v>1443.3024081210881</v>
      </c>
      <c r="D57" s="110">
        <f t="shared" si="21"/>
        <v>1370.6743403415369</v>
      </c>
      <c r="E57" s="110">
        <f t="shared" si="21"/>
        <v>1308.8994056699594</v>
      </c>
      <c r="F57" s="110">
        <f t="shared" si="21"/>
        <v>1256.7055488641979</v>
      </c>
      <c r="G57" s="110">
        <f t="shared" si="21"/>
        <v>1172.597791851852</v>
      </c>
      <c r="H57" s="110">
        <f t="shared" si="21"/>
        <v>1140.4223111111114</v>
      </c>
      <c r="I57" s="110">
        <f t="shared" si="21"/>
        <v>1114.3586666666667</v>
      </c>
      <c r="J57" s="109">
        <f>BS!B54</f>
        <v>943.21299999999997</v>
      </c>
      <c r="K57" s="109">
        <f>BS!C54</f>
        <v>1052.671</v>
      </c>
      <c r="L57" s="109">
        <f>BS!D54</f>
        <v>1043.2760000000001</v>
      </c>
      <c r="M57" s="109">
        <f>BS!E54</f>
        <v>751.95799999999997</v>
      </c>
      <c r="N57" s="109">
        <f>BS!F54</f>
        <v>627.34500000000003</v>
      </c>
      <c r="O57" s="109">
        <f>BS!G54</f>
        <v>375.17500000000001</v>
      </c>
      <c r="P57" s="109">
        <f>BS!H54</f>
        <v>701.47699999999998</v>
      </c>
      <c r="Q57" s="109">
        <f>BS!I54</f>
        <v>495.392</v>
      </c>
      <c r="R57" s="109">
        <f>BS!J54</f>
        <v>424.18200000000002</v>
      </c>
      <c r="S57" s="109">
        <f>BS!K54</f>
        <v>406.012</v>
      </c>
      <c r="T57" s="109">
        <f>BS!L54</f>
        <v>333.93400000000003</v>
      </c>
    </row>
    <row r="58" spans="1:20" x14ac:dyDescent="0.2">
      <c r="A58" t="s">
        <v>313</v>
      </c>
      <c r="B58" s="108">
        <f t="shared" ref="B58:H58" si="22">SUM(B54:B57)</f>
        <v>3350.1933118781167</v>
      </c>
      <c r="C58" s="108">
        <f t="shared" si="22"/>
        <v>3197.5890861246085</v>
      </c>
      <c r="D58" s="108">
        <f t="shared" si="22"/>
        <v>3036.1565265771751</v>
      </c>
      <c r="E58" s="108">
        <f t="shared" si="22"/>
        <v>2903.1452378748982</v>
      </c>
      <c r="F58" s="108">
        <f t="shared" si="22"/>
        <v>2781.3957431604945</v>
      </c>
      <c r="G58" s="108">
        <f t="shared" si="22"/>
        <v>2595.8859096296301</v>
      </c>
      <c r="H58" s="108">
        <f t="shared" si="22"/>
        <v>2540.3871777777781</v>
      </c>
      <c r="I58" s="108">
        <f>SUM(I54:I57)</f>
        <v>2449.3516666666669</v>
      </c>
      <c r="J58" s="107">
        <f>SUM(J54:J57)</f>
        <v>2089.9499999999998</v>
      </c>
      <c r="K58" s="107">
        <f t="shared" ref="K58:T58" si="23">SUM(K54:K57)</f>
        <v>2389.027</v>
      </c>
      <c r="L58" s="107">
        <f t="shared" si="23"/>
        <v>2201.0730000000003</v>
      </c>
      <c r="M58" s="107">
        <f t="shared" si="23"/>
        <v>1325.0630000000001</v>
      </c>
      <c r="N58" s="107">
        <f t="shared" si="23"/>
        <v>1208.9650000000001</v>
      </c>
      <c r="O58" s="107">
        <f t="shared" si="23"/>
        <v>984.74800000000005</v>
      </c>
      <c r="P58" s="107">
        <f t="shared" si="23"/>
        <v>1296.3319999999999</v>
      </c>
      <c r="Q58" s="107">
        <f t="shared" si="23"/>
        <v>782.93399999999997</v>
      </c>
      <c r="R58" s="107">
        <f t="shared" si="23"/>
        <v>738.99099999999999</v>
      </c>
      <c r="S58" s="107">
        <f t="shared" si="23"/>
        <v>709.05600000000004</v>
      </c>
      <c r="T58" s="107">
        <f t="shared" si="23"/>
        <v>570.51200000000006</v>
      </c>
    </row>
    <row r="59" spans="1:20" x14ac:dyDescent="0.2">
      <c r="A59" t="s">
        <v>311</v>
      </c>
      <c r="B59" s="108">
        <f>B52-B58</f>
        <v>3835.1778772928924</v>
      </c>
      <c r="C59" s="108">
        <f t="shared" ref="C59:T59" si="24">C52-C58</f>
        <v>3668.0589389737511</v>
      </c>
      <c r="D59" s="108">
        <f t="shared" si="24"/>
        <v>3479.6832910837747</v>
      </c>
      <c r="E59" s="108">
        <f t="shared" si="24"/>
        <v>3311.8337989230868</v>
      </c>
      <c r="F59" s="108">
        <f t="shared" si="24"/>
        <v>3212.2800162851859</v>
      </c>
      <c r="G59" s="108">
        <f t="shared" si="24"/>
        <v>2965.9315241111117</v>
      </c>
      <c r="H59" s="108">
        <f t="shared" si="24"/>
        <v>2854.062456666667</v>
      </c>
      <c r="I59" s="108">
        <f t="shared" si="24"/>
        <v>2940.7697000000003</v>
      </c>
      <c r="J59" s="107">
        <f t="shared" si="24"/>
        <v>2294.0720000000001</v>
      </c>
      <c r="K59" s="107">
        <f t="shared" si="24"/>
        <v>2548.9649999999992</v>
      </c>
      <c r="L59" s="107">
        <f t="shared" si="24"/>
        <v>3177.2439999999997</v>
      </c>
      <c r="M59" s="107">
        <f t="shared" si="24"/>
        <v>1192.625</v>
      </c>
      <c r="N59" s="107">
        <f t="shared" si="24"/>
        <v>776.16099999999983</v>
      </c>
      <c r="O59" s="107">
        <f t="shared" si="24"/>
        <v>1127.3780000000002</v>
      </c>
      <c r="P59" s="107">
        <f t="shared" si="24"/>
        <v>1055.0060000000003</v>
      </c>
      <c r="Q59" s="107">
        <f t="shared" si="24"/>
        <v>4191.9290000000001</v>
      </c>
      <c r="R59" s="107">
        <f t="shared" si="24"/>
        <v>3340.5569999999998</v>
      </c>
      <c r="S59" s="107">
        <f t="shared" si="24"/>
        <v>3102.83</v>
      </c>
      <c r="T59" s="107">
        <f t="shared" si="24"/>
        <v>4901.9130000000005</v>
      </c>
    </row>
    <row r="60" spans="1:20" ht="14.3" thickBot="1" x14ac:dyDescent="0.3">
      <c r="A60" s="49" t="s">
        <v>310</v>
      </c>
      <c r="B60" s="59">
        <f>B59-C59</f>
        <v>167.11893831914131</v>
      </c>
      <c r="C60" s="59">
        <f>C59-D59</f>
        <v>188.37564788997634</v>
      </c>
      <c r="D60" s="59">
        <f t="shared" ref="D60:G60" si="25">D59-E59</f>
        <v>167.84949216068799</v>
      </c>
      <c r="E60" s="59">
        <f t="shared" si="25"/>
        <v>99.553782637900895</v>
      </c>
      <c r="F60" s="59">
        <f>F59-G59</f>
        <v>246.34849217407418</v>
      </c>
      <c r="G60" s="59">
        <f t="shared" si="25"/>
        <v>111.86906744444468</v>
      </c>
      <c r="H60" s="59">
        <f>H59-I59</f>
        <v>-86.707243333333281</v>
      </c>
      <c r="I60" s="59">
        <f>I59-J59</f>
        <v>646.69770000000017</v>
      </c>
      <c r="J60" s="59">
        <f>J59-K59</f>
        <v>-254.89299999999912</v>
      </c>
      <c r="K60" s="52">
        <f t="shared" ref="K60:S60" si="26">K59-L59</f>
        <v>-628.27900000000045</v>
      </c>
      <c r="L60" s="52">
        <f t="shared" si="26"/>
        <v>1984.6189999999997</v>
      </c>
      <c r="M60" s="52">
        <f t="shared" si="26"/>
        <v>416.46400000000017</v>
      </c>
      <c r="N60" s="52">
        <f t="shared" si="26"/>
        <v>-351.21700000000033</v>
      </c>
      <c r="O60" s="52">
        <f t="shared" si="26"/>
        <v>72.371999999999844</v>
      </c>
      <c r="P60" s="52">
        <f t="shared" si="26"/>
        <v>-3136.9229999999998</v>
      </c>
      <c r="Q60" s="52">
        <f t="shared" si="26"/>
        <v>851.3720000000003</v>
      </c>
      <c r="R60" s="52">
        <f t="shared" si="26"/>
        <v>237.72699999999986</v>
      </c>
      <c r="S60" s="52">
        <f t="shared" si="26"/>
        <v>-1799.0830000000005</v>
      </c>
      <c r="T60" s="52"/>
    </row>
    <row r="61" spans="1:20" ht="13.6" thickTop="1" x14ac:dyDescent="0.2"/>
    <row r="62" spans="1:20" ht="13.6" x14ac:dyDescent="0.25">
      <c r="A62" s="77" t="s">
        <v>164</v>
      </c>
      <c r="B62" s="77" t="str">
        <f t="shared" ref="B62:T62" si="27">B46</f>
        <v>OCT '31</v>
      </c>
      <c r="C62" s="77" t="str">
        <f t="shared" si="27"/>
        <v>OCT '30</v>
      </c>
      <c r="D62" s="77" t="str">
        <f t="shared" si="27"/>
        <v>OCT '29</v>
      </c>
      <c r="E62" s="77" t="str">
        <f t="shared" si="27"/>
        <v>OCT '28</v>
      </c>
      <c r="F62" s="77" t="str">
        <f t="shared" si="27"/>
        <v>OCT '27</v>
      </c>
      <c r="G62" s="77" t="str">
        <f t="shared" si="27"/>
        <v>OCT '26</v>
      </c>
      <c r="H62" s="77" t="str">
        <f t="shared" si="27"/>
        <v>OCT '25</v>
      </c>
      <c r="I62" s="77" t="str">
        <f t="shared" si="27"/>
        <v>OCT '24</v>
      </c>
      <c r="J62" s="77" t="str">
        <f t="shared" si="27"/>
        <v>OCT '23</v>
      </c>
      <c r="K62" s="77" t="str">
        <f t="shared" si="27"/>
        <v>OCT '22</v>
      </c>
      <c r="L62" s="77" t="str">
        <f t="shared" si="27"/>
        <v>OCT '21</v>
      </c>
      <c r="M62" s="77" t="str">
        <f t="shared" si="27"/>
        <v>OCT '20</v>
      </c>
      <c r="N62" s="77" t="str">
        <f t="shared" si="27"/>
        <v>OCT '19</v>
      </c>
      <c r="O62" s="77" t="str">
        <f t="shared" si="27"/>
        <v>OCT '18</v>
      </c>
      <c r="P62" s="77" t="str">
        <f t="shared" si="27"/>
        <v>OCT '17</v>
      </c>
      <c r="Q62" s="77" t="str">
        <f t="shared" si="27"/>
        <v>OCT '16</v>
      </c>
      <c r="R62" s="77" t="str">
        <f t="shared" si="27"/>
        <v>OCT '15</v>
      </c>
      <c r="S62" s="77" t="str">
        <f t="shared" si="27"/>
        <v>OCT '14</v>
      </c>
      <c r="T62" s="77" t="str">
        <f t="shared" si="27"/>
        <v>OCT '13</v>
      </c>
    </row>
    <row r="63" spans="1:20" x14ac:dyDescent="0.2">
      <c r="A63" s="58" t="str">
        <f>A37</f>
        <v>NOPAT</v>
      </c>
      <c r="B63" s="57">
        <f t="shared" ref="B63:T63" si="28">B37</f>
        <v>8968.6153338685144</v>
      </c>
      <c r="C63" s="57">
        <f t="shared" si="28"/>
        <v>8815.0975668716746</v>
      </c>
      <c r="D63" s="57">
        <f t="shared" si="28"/>
        <v>8371.5276764385471</v>
      </c>
      <c r="E63" s="57">
        <f t="shared" si="28"/>
        <v>7950.2341956481396</v>
      </c>
      <c r="F63" s="57">
        <f t="shared" si="28"/>
        <v>7473.0285106417796</v>
      </c>
      <c r="G63" s="57">
        <f t="shared" si="28"/>
        <v>6941.7055272080543</v>
      </c>
      <c r="H63" s="57">
        <f t="shared" si="28"/>
        <v>6442.7915522092235</v>
      </c>
      <c r="I63" s="57">
        <f t="shared" si="28"/>
        <v>5974.5311946873608</v>
      </c>
      <c r="J63" s="57">
        <f t="shared" si="28"/>
        <v>6179.9916548590027</v>
      </c>
      <c r="K63" s="57">
        <f t="shared" si="28"/>
        <v>5723.2516362546958</v>
      </c>
      <c r="L63" s="57">
        <f t="shared" si="28"/>
        <v>3005.598809394713</v>
      </c>
      <c r="M63" s="57">
        <f t="shared" si="28"/>
        <v>2358.630583076093</v>
      </c>
      <c r="N63" s="57">
        <f t="shared" si="28"/>
        <v>2572.9303302379458</v>
      </c>
      <c r="O63" s="57">
        <f t="shared" si="28"/>
        <v>2713.6155660719755</v>
      </c>
      <c r="P63" s="57">
        <f t="shared" si="28"/>
        <v>1731.8390975693994</v>
      </c>
      <c r="Q63" s="57">
        <f t="shared" si="28"/>
        <v>1231.1300472378484</v>
      </c>
      <c r="R63" s="57">
        <f t="shared" si="28"/>
        <v>1021.2844334568041</v>
      </c>
      <c r="S63" s="57">
        <f t="shared" si="28"/>
        <v>942.62058471229659</v>
      </c>
      <c r="T63" s="57">
        <f t="shared" si="28"/>
        <v>851.17907456005639</v>
      </c>
    </row>
    <row r="64" spans="1:20" x14ac:dyDescent="0.2">
      <c r="A64" s="58" t="str">
        <f t="shared" ref="A64:S64" si="29">A44</f>
        <v>CapEx</v>
      </c>
      <c r="B64" s="57">
        <f t="shared" si="29"/>
        <v>3686.8032422992233</v>
      </c>
      <c r="C64" s="57">
        <f t="shared" si="29"/>
        <v>3603.3755935418958</v>
      </c>
      <c r="D64" s="57">
        <f t="shared" si="29"/>
        <v>3407.982939933996</v>
      </c>
      <c r="E64" s="57">
        <f t="shared" si="29"/>
        <v>3382.8983570532509</v>
      </c>
      <c r="F64" s="57">
        <f t="shared" si="29"/>
        <v>3185.2491464963296</v>
      </c>
      <c r="G64" s="57">
        <f t="shared" si="29"/>
        <v>3007.9629912947989</v>
      </c>
      <c r="H64" s="57">
        <f t="shared" si="29"/>
        <v>2833.8534458667878</v>
      </c>
      <c r="I64" s="57">
        <f t="shared" si="29"/>
        <v>2139.7912874087474</v>
      </c>
      <c r="J64" s="57">
        <f t="shared" si="29"/>
        <v>3125.1790000000001</v>
      </c>
      <c r="K64" s="57">
        <f t="shared" si="29"/>
        <v>2703.2070000000003</v>
      </c>
      <c r="L64" s="57">
        <f t="shared" si="29"/>
        <v>1956.0409999999999</v>
      </c>
      <c r="M64" s="57">
        <f t="shared" si="29"/>
        <v>968.11999999999989</v>
      </c>
      <c r="N64" s="57">
        <f t="shared" si="29"/>
        <v>876.91200000000003</v>
      </c>
      <c r="O64" s="57">
        <f t="shared" si="29"/>
        <v>846.08699999999988</v>
      </c>
      <c r="P64" s="57">
        <f t="shared" si="29"/>
        <v>1055.2470000000001</v>
      </c>
      <c r="Q64" s="57">
        <f t="shared" si="29"/>
        <v>201.79599999999996</v>
      </c>
      <c r="R64" s="57">
        <f t="shared" si="29"/>
        <v>243.88099999999997</v>
      </c>
      <c r="S64" s="57">
        <f t="shared" si="29"/>
        <v>256.25100000000003</v>
      </c>
      <c r="T64" s="57"/>
    </row>
    <row r="65" spans="1:20" x14ac:dyDescent="0.2">
      <c r="A65" s="58" t="str">
        <f t="shared" ref="A65:S65" si="30">A60</f>
        <v>∆ In NOWC</v>
      </c>
      <c r="B65" s="57">
        <f t="shared" si="30"/>
        <v>167.11893831914131</v>
      </c>
      <c r="C65" s="57">
        <f t="shared" si="30"/>
        <v>188.37564788997634</v>
      </c>
      <c r="D65" s="57">
        <f t="shared" si="30"/>
        <v>167.84949216068799</v>
      </c>
      <c r="E65" s="57">
        <f t="shared" si="30"/>
        <v>99.553782637900895</v>
      </c>
      <c r="F65" s="57">
        <f t="shared" si="30"/>
        <v>246.34849217407418</v>
      </c>
      <c r="G65" s="57">
        <f t="shared" si="30"/>
        <v>111.86906744444468</v>
      </c>
      <c r="H65" s="57">
        <f t="shared" si="30"/>
        <v>-86.707243333333281</v>
      </c>
      <c r="I65" s="57">
        <f t="shared" si="30"/>
        <v>646.69770000000017</v>
      </c>
      <c r="J65" s="57">
        <f t="shared" si="30"/>
        <v>-254.89299999999912</v>
      </c>
      <c r="K65" s="57">
        <f t="shared" si="30"/>
        <v>-628.27900000000045</v>
      </c>
      <c r="L65" s="57">
        <f t="shared" si="30"/>
        <v>1984.6189999999997</v>
      </c>
      <c r="M65" s="57">
        <f t="shared" si="30"/>
        <v>416.46400000000017</v>
      </c>
      <c r="N65" s="57">
        <f t="shared" si="30"/>
        <v>-351.21700000000033</v>
      </c>
      <c r="O65" s="57">
        <f t="shared" si="30"/>
        <v>72.371999999999844</v>
      </c>
      <c r="P65" s="57">
        <f t="shared" si="30"/>
        <v>-3136.9229999999998</v>
      </c>
      <c r="Q65" s="57">
        <f t="shared" si="30"/>
        <v>851.3720000000003</v>
      </c>
      <c r="R65" s="57">
        <f t="shared" si="30"/>
        <v>237.72699999999986</v>
      </c>
      <c r="S65" s="57">
        <f t="shared" si="30"/>
        <v>-1799.0830000000005</v>
      </c>
      <c r="T65" s="57"/>
    </row>
    <row r="66" spans="1:20" ht="14.3" thickBot="1" x14ac:dyDescent="0.3">
      <c r="A66" s="49" t="s">
        <v>312</v>
      </c>
      <c r="B66" s="59">
        <f t="shared" ref="B66:I66" si="31">B63-B64-B65</f>
        <v>5114.6931532501494</v>
      </c>
      <c r="C66" s="59">
        <f t="shared" si="31"/>
        <v>5023.346325439803</v>
      </c>
      <c r="D66" s="59">
        <f t="shared" si="31"/>
        <v>4795.6952443438631</v>
      </c>
      <c r="E66" s="59">
        <f t="shared" si="31"/>
        <v>4467.7820559569882</v>
      </c>
      <c r="F66" s="59">
        <f t="shared" si="31"/>
        <v>4041.4308719713758</v>
      </c>
      <c r="G66" s="59">
        <f t="shared" si="31"/>
        <v>3821.8734684688106</v>
      </c>
      <c r="H66" s="59">
        <f t="shared" si="31"/>
        <v>3695.645349675769</v>
      </c>
      <c r="I66" s="59">
        <f t="shared" si="31"/>
        <v>3188.0422072786132</v>
      </c>
      <c r="J66" s="59">
        <f>J63-J64-J65</f>
        <v>3309.7056548590017</v>
      </c>
      <c r="K66" s="52">
        <f t="shared" ref="K66:R66" si="32">K63-K64-K65</f>
        <v>3648.3236362546959</v>
      </c>
      <c r="L66" s="52">
        <f t="shared" si="32"/>
        <v>-935.06119060528658</v>
      </c>
      <c r="M66" s="52">
        <f t="shared" si="32"/>
        <v>974.04658307609293</v>
      </c>
      <c r="N66" s="52">
        <f t="shared" si="32"/>
        <v>2047.2353302379461</v>
      </c>
      <c r="O66" s="52">
        <f t="shared" si="32"/>
        <v>1795.1565660719757</v>
      </c>
      <c r="P66" s="52">
        <f t="shared" si="32"/>
        <v>3813.5150975693991</v>
      </c>
      <c r="Q66" s="52">
        <f t="shared" si="32"/>
        <v>177.96204723784808</v>
      </c>
      <c r="R66" s="52">
        <f t="shared" si="32"/>
        <v>539.67643345680426</v>
      </c>
      <c r="S66" s="52">
        <f>S63-S64-S65</f>
        <v>2485.4525847122968</v>
      </c>
      <c r="T66" s="52"/>
    </row>
    <row r="67" spans="1:20" ht="13.6" thickTop="1" x14ac:dyDescent="0.2"/>
  </sheetData>
  <conditionalFormatting sqref="B23">
    <cfRule type="containsText" dxfId="3" priority="2" operator="containsText" text="BUY">
      <formula>NOT(ISERROR(SEARCH("BUY",B23)))</formula>
    </cfRule>
    <cfRule type="containsText" dxfId="2" priority="3" operator="containsText" text="SELL">
      <formula>NOT(ISERROR(SEARCH("SELL",B23)))</formula>
    </cfRule>
    <cfRule type="containsText" dxfId="1" priority="4" operator="containsText" text="&quot;SELL&quot;">
      <formula>NOT(ISERROR(SEARCH("""SELL""",B23)))</formula>
    </cfRule>
    <cfRule type="cellIs" dxfId="0" priority="5" operator="equal">
      <formula>"""BUY"""</formula>
    </cfRule>
    <cfRule type="colorScale" priority="6">
      <colorScale>
        <cfvo type="formula" val="$B$20&lt;#REF!"/>
        <cfvo type="formula" val="$B$20&gt;#REF!"/>
        <color rgb="FFFCFCFF"/>
        <color rgb="FF63BE7B"/>
      </colorScale>
    </cfRule>
    <cfRule type="colorScale" priority="7">
      <colorScale>
        <cfvo type="formula" val="$B$20&lt;#REF!"/>
        <cfvo type="formula" val="&quot;=&quot;"/>
        <color rgb="FFFF0000"/>
        <color rgb="FFFFEF9C"/>
      </colorScale>
    </cfRule>
    <cfRule type="expression" priority="8">
      <formula>B23="buy"</formula>
    </cfRule>
  </conditionalFormatting>
  <conditionalFormatting sqref="F7:T26">
    <cfRule type="colorScale" priority="1">
      <colorScale>
        <cfvo type="num" val="$B$2-70"/>
        <cfvo type="num" val="$B$2+15"/>
        <cfvo type="num" val="$B$2+150"/>
        <color rgb="FFFF0000"/>
        <color rgb="FFFFFF00"/>
        <color rgb="FF00B050"/>
      </colorScale>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5FF87-4222-427E-B8DA-43EC65147191}">
  <dimension ref="B2:E42"/>
  <sheetViews>
    <sheetView showGridLines="0" workbookViewId="0">
      <selection activeCell="E33" sqref="E33"/>
    </sheetView>
  </sheetViews>
  <sheetFormatPr defaultRowHeight="12.9" x14ac:dyDescent="0.2"/>
  <cols>
    <col min="2" max="2" width="24.625" bestFit="1" customWidth="1"/>
    <col min="3" max="3" width="26.75" bestFit="1" customWidth="1"/>
  </cols>
  <sheetData>
    <row r="2" spans="2:5" ht="13.6" x14ac:dyDescent="0.25">
      <c r="B2" s="70" t="s">
        <v>328</v>
      </c>
      <c r="C2" s="70"/>
      <c r="D2" s="70"/>
      <c r="E2" s="70"/>
    </row>
    <row r="3" spans="2:5" x14ac:dyDescent="0.2">
      <c r="B3" s="66" t="s">
        <v>339</v>
      </c>
    </row>
    <row r="4" spans="2:5" x14ac:dyDescent="0.2">
      <c r="B4" t="s">
        <v>329</v>
      </c>
    </row>
    <row r="6" spans="2:5" x14ac:dyDescent="0.2">
      <c r="B6" t="s">
        <v>330</v>
      </c>
      <c r="E6" s="60">
        <v>4.0969999999999999E-2</v>
      </c>
    </row>
    <row r="7" spans="2:5" x14ac:dyDescent="0.2">
      <c r="B7" s="66" t="s">
        <v>331</v>
      </c>
    </row>
    <row r="8" spans="2:5" x14ac:dyDescent="0.2">
      <c r="B8" t="s">
        <v>332</v>
      </c>
      <c r="E8" s="60">
        <v>4.5999999999999999E-2</v>
      </c>
    </row>
    <row r="9" spans="2:5" x14ac:dyDescent="0.2">
      <c r="B9" s="66" t="s">
        <v>483</v>
      </c>
    </row>
    <row r="10" spans="2:5" x14ac:dyDescent="0.2">
      <c r="B10" t="s">
        <v>333</v>
      </c>
      <c r="E10">
        <v>1.1200000000000001</v>
      </c>
    </row>
    <row r="11" spans="2:5" x14ac:dyDescent="0.2">
      <c r="B11" s="66" t="s">
        <v>334</v>
      </c>
    </row>
    <row r="12" spans="2:5" ht="13.6" x14ac:dyDescent="0.25">
      <c r="B12" s="70" t="s">
        <v>349</v>
      </c>
      <c r="C12" s="71"/>
      <c r="D12" s="71"/>
      <c r="E12" s="72">
        <f>E6+E10*(E8)</f>
        <v>9.2490000000000003E-2</v>
      </c>
    </row>
    <row r="13" spans="2:5" ht="13.6" x14ac:dyDescent="0.25">
      <c r="B13" s="73" t="s">
        <v>350</v>
      </c>
      <c r="C13" s="71"/>
      <c r="D13" s="71"/>
      <c r="E13" s="70"/>
    </row>
    <row r="15" spans="2:5" ht="13.6" x14ac:dyDescent="0.25">
      <c r="B15" s="70" t="s">
        <v>335</v>
      </c>
      <c r="C15" s="70"/>
      <c r="D15" s="70"/>
      <c r="E15" s="70"/>
    </row>
    <row r="16" spans="2:5" ht="13.6" x14ac:dyDescent="0.25">
      <c r="B16" s="73" t="s">
        <v>336</v>
      </c>
      <c r="C16" s="70" t="s">
        <v>337</v>
      </c>
      <c r="D16" s="70" t="s">
        <v>477</v>
      </c>
      <c r="E16" s="70" t="s">
        <v>338</v>
      </c>
    </row>
    <row r="17" spans="2:5" x14ac:dyDescent="0.2">
      <c r="C17">
        <v>400</v>
      </c>
      <c r="D17">
        <v>4.8</v>
      </c>
      <c r="E17" s="95">
        <f t="shared" ref="E17:E29" si="0">C17*D17/100</f>
        <v>19.2</v>
      </c>
    </row>
    <row r="18" spans="2:5" x14ac:dyDescent="0.2">
      <c r="C18">
        <v>900</v>
      </c>
      <c r="D18">
        <v>4.5199999999999996</v>
      </c>
      <c r="E18" s="95">
        <f t="shared" si="0"/>
        <v>40.679999999999993</v>
      </c>
    </row>
    <row r="19" spans="2:5" x14ac:dyDescent="0.2">
      <c r="C19">
        <v>12.7</v>
      </c>
      <c r="D19">
        <v>4.58</v>
      </c>
      <c r="E19" s="95">
        <f t="shared" si="0"/>
        <v>0.58165999999999995</v>
      </c>
    </row>
    <row r="20" spans="2:5" x14ac:dyDescent="0.2">
      <c r="C20">
        <v>427.5</v>
      </c>
      <c r="D20">
        <v>4.58</v>
      </c>
      <c r="E20" s="95">
        <f t="shared" si="0"/>
        <v>19.579499999999999</v>
      </c>
    </row>
    <row r="21" spans="2:5" x14ac:dyDescent="0.2">
      <c r="C21">
        <v>750</v>
      </c>
      <c r="D21">
        <v>4.62</v>
      </c>
      <c r="E21" s="95">
        <f t="shared" si="0"/>
        <v>34.65</v>
      </c>
    </row>
    <row r="22" spans="2:5" x14ac:dyDescent="0.2">
      <c r="C22">
        <v>1000</v>
      </c>
      <c r="D22">
        <v>4.87</v>
      </c>
      <c r="E22" s="95">
        <f t="shared" si="0"/>
        <v>48.7</v>
      </c>
    </row>
    <row r="23" spans="2:5" x14ac:dyDescent="0.2">
      <c r="C23">
        <v>300</v>
      </c>
      <c r="D23">
        <v>4.9400000000000004</v>
      </c>
      <c r="E23" s="95">
        <f t="shared" si="0"/>
        <v>14.820000000000002</v>
      </c>
    </row>
    <row r="24" spans="2:5" x14ac:dyDescent="0.2">
      <c r="C24">
        <v>550</v>
      </c>
      <c r="D24">
        <v>5.01</v>
      </c>
      <c r="E24" s="95">
        <f t="shared" si="0"/>
        <v>27.555</v>
      </c>
    </row>
    <row r="25" spans="2:5" x14ac:dyDescent="0.2">
      <c r="C25">
        <v>144.30000000000001</v>
      </c>
      <c r="D25">
        <v>5.13</v>
      </c>
      <c r="E25" s="95">
        <f t="shared" si="0"/>
        <v>7.40259</v>
      </c>
    </row>
    <row r="26" spans="2:5" x14ac:dyDescent="0.2">
      <c r="C26">
        <v>750</v>
      </c>
      <c r="D26">
        <v>5.42</v>
      </c>
      <c r="E26" s="95">
        <f t="shared" si="0"/>
        <v>40.65</v>
      </c>
    </row>
    <row r="27" spans="2:5" x14ac:dyDescent="0.2">
      <c r="C27">
        <v>332.6</v>
      </c>
      <c r="D27">
        <v>5.5</v>
      </c>
      <c r="E27" s="95">
        <f t="shared" si="0"/>
        <v>18.293000000000003</v>
      </c>
    </row>
    <row r="28" spans="2:5" x14ac:dyDescent="0.2">
      <c r="C28">
        <v>1000</v>
      </c>
      <c r="D28">
        <v>5.42</v>
      </c>
      <c r="E28" s="95">
        <f t="shared" si="0"/>
        <v>54.2</v>
      </c>
    </row>
    <row r="29" spans="2:5" x14ac:dyDescent="0.2">
      <c r="C29" s="54">
        <v>550</v>
      </c>
      <c r="D29" s="54">
        <v>5.43</v>
      </c>
      <c r="E29" s="100">
        <f t="shared" si="0"/>
        <v>29.864999999999998</v>
      </c>
    </row>
    <row r="30" spans="2:5" ht="1.2" customHeight="1" x14ac:dyDescent="0.2"/>
    <row r="31" spans="2:5" x14ac:dyDescent="0.2">
      <c r="B31" t="s">
        <v>340</v>
      </c>
      <c r="E31">
        <f>SUM(C17:C29)</f>
        <v>7117.1</v>
      </c>
    </row>
    <row r="32" spans="2:5" x14ac:dyDescent="0.2">
      <c r="B32" t="s">
        <v>341</v>
      </c>
      <c r="C32" s="68"/>
      <c r="D32" s="54"/>
      <c r="E32" s="54">
        <f>SUM(E17:E29)</f>
        <v>356.17675000000003</v>
      </c>
    </row>
    <row r="33" spans="2:5" ht="13.6" x14ac:dyDescent="0.25">
      <c r="B33" s="70" t="s">
        <v>342</v>
      </c>
      <c r="C33" s="70"/>
      <c r="D33" s="70"/>
      <c r="E33" s="72">
        <f>E32/E31</f>
        <v>5.0045208020120559E-2</v>
      </c>
    </row>
    <row r="34" spans="2:5" ht="13.6" x14ac:dyDescent="0.25">
      <c r="B34" s="70" t="s">
        <v>344</v>
      </c>
      <c r="C34" s="70"/>
      <c r="D34" s="70"/>
      <c r="E34" s="72">
        <f>E33*(1-Tax_Rate)</f>
        <v>4.5040687218108506E-2</v>
      </c>
    </row>
    <row r="36" spans="2:5" x14ac:dyDescent="0.2">
      <c r="B36" t="s">
        <v>345</v>
      </c>
      <c r="E36" s="62">
        <f>BS!$B$66</f>
        <v>13229.356</v>
      </c>
    </row>
    <row r="37" spans="2:5" x14ac:dyDescent="0.2">
      <c r="B37" t="s">
        <v>94</v>
      </c>
      <c r="E37" s="62">
        <f>BS!$B$77</f>
        <v>35565.122000000003</v>
      </c>
    </row>
    <row r="39" spans="2:5" x14ac:dyDescent="0.2">
      <c r="B39" t="s">
        <v>346</v>
      </c>
      <c r="E39" s="47">
        <f>E36/SUM(E36:E37)</f>
        <v>0.27112403989648171</v>
      </c>
    </row>
    <row r="40" spans="2:5" x14ac:dyDescent="0.2">
      <c r="B40" t="s">
        <v>347</v>
      </c>
      <c r="E40" s="47">
        <f>E37/SUM(E36:E37)</f>
        <v>0.72887596010351829</v>
      </c>
    </row>
    <row r="42" spans="2:5" ht="13.6" x14ac:dyDescent="0.25">
      <c r="B42" s="70" t="s">
        <v>348</v>
      </c>
      <c r="C42" s="71"/>
      <c r="D42" s="71"/>
      <c r="E42" s="71">
        <f>(E39*E34)+(E40*E12)</f>
        <v>7.9625350628261815E-2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80C8-DFE3-465B-90FB-65595D976FCD}">
  <sheetPr>
    <outlinePr summaryBelow="0" summaryRight="0"/>
  </sheetPr>
  <dimension ref="A1:M69"/>
  <sheetViews>
    <sheetView topLeftCell="A26" workbookViewId="0">
      <selection activeCell="J44" sqref="J44"/>
    </sheetView>
  </sheetViews>
  <sheetFormatPr defaultColWidth="9.125" defaultRowHeight="14.95" customHeight="1" outlineLevelRow="3" x14ac:dyDescent="0.2"/>
  <cols>
    <col min="1" max="1" width="51.375" customWidth="1"/>
    <col min="2" max="2" width="7.625" customWidth="1"/>
    <col min="3" max="4" width="8.5" customWidth="1"/>
    <col min="5" max="13" width="8.125" customWidth="1"/>
  </cols>
  <sheetData>
    <row r="1" spans="1:13" ht="14.95" customHeight="1" x14ac:dyDescent="0.25">
      <c r="A1" s="33" t="s">
        <v>64</v>
      </c>
    </row>
    <row r="2" spans="1:13" ht="14.95" customHeight="1" x14ac:dyDescent="0.2">
      <c r="A2" s="35" t="s">
        <v>65</v>
      </c>
    </row>
    <row r="3" spans="1:13" ht="14.95" customHeight="1" x14ac:dyDescent="0.2">
      <c r="A3" s="34"/>
      <c r="B3" s="34"/>
      <c r="C3" s="34"/>
      <c r="D3" s="34"/>
      <c r="E3" s="34"/>
      <c r="F3" s="34"/>
      <c r="G3" s="34"/>
      <c r="H3" s="34"/>
      <c r="I3" s="34"/>
      <c r="J3" s="34"/>
      <c r="K3" s="34"/>
      <c r="L3" s="34"/>
      <c r="M3" s="34"/>
    </row>
    <row r="5" spans="1:13" ht="14.95" customHeight="1" x14ac:dyDescent="0.25">
      <c r="A5" s="1" t="s">
        <v>0</v>
      </c>
      <c r="B5" s="1"/>
      <c r="C5" s="1"/>
      <c r="D5" s="1"/>
      <c r="E5" s="1"/>
      <c r="F5" s="1"/>
      <c r="G5" s="1"/>
      <c r="H5" s="1"/>
      <c r="I5" s="1"/>
      <c r="J5" s="1"/>
      <c r="K5" s="1"/>
      <c r="L5" s="1"/>
      <c r="M5" s="1"/>
    </row>
    <row r="6" spans="1:13" ht="14.95" customHeight="1" x14ac:dyDescent="0.25">
      <c r="A6" s="1" t="s">
        <v>1</v>
      </c>
      <c r="B6" s="1"/>
      <c r="C6" s="1"/>
      <c r="D6" s="1"/>
      <c r="E6" s="1"/>
      <c r="F6" s="1"/>
      <c r="G6" s="1"/>
      <c r="H6" s="1"/>
      <c r="I6" s="1"/>
      <c r="J6" s="1"/>
      <c r="K6" s="1"/>
      <c r="L6" s="1"/>
      <c r="M6" s="1"/>
    </row>
    <row r="7" spans="1:13" ht="14.95" customHeight="1" x14ac:dyDescent="0.25">
      <c r="A7" s="1" t="s">
        <v>2</v>
      </c>
      <c r="B7" s="1"/>
      <c r="C7" s="1"/>
      <c r="D7" s="1"/>
      <c r="E7" s="1"/>
      <c r="F7" s="1"/>
      <c r="G7" s="1"/>
      <c r="H7" s="1"/>
      <c r="I7" s="1"/>
      <c r="J7" s="1"/>
      <c r="K7" s="1"/>
      <c r="L7" s="1"/>
      <c r="M7" s="1"/>
    </row>
    <row r="8" spans="1:13" ht="14.95" customHeight="1" x14ac:dyDescent="0.25">
      <c r="A8" s="1"/>
      <c r="B8" s="1" t="s">
        <v>3</v>
      </c>
      <c r="C8" s="1" t="s">
        <v>4</v>
      </c>
      <c r="D8" s="1" t="s">
        <v>5</v>
      </c>
      <c r="E8" s="1" t="s">
        <v>6</v>
      </c>
      <c r="F8" s="1" t="s">
        <v>7</v>
      </c>
      <c r="G8" s="1" t="s">
        <v>8</v>
      </c>
      <c r="H8" s="1" t="s">
        <v>9</v>
      </c>
      <c r="I8" s="1" t="s">
        <v>10</v>
      </c>
      <c r="J8" s="1" t="s">
        <v>11</v>
      </c>
      <c r="K8" s="1" t="s">
        <v>12</v>
      </c>
      <c r="L8" s="1" t="s">
        <v>13</v>
      </c>
      <c r="M8" s="1" t="s">
        <v>14</v>
      </c>
    </row>
    <row r="9" spans="1:13" ht="14.95" customHeight="1" x14ac:dyDescent="0.25">
      <c r="A9" s="1"/>
      <c r="B9" s="1" t="s">
        <v>15</v>
      </c>
      <c r="C9" s="1"/>
      <c r="D9" s="1"/>
      <c r="E9" s="1"/>
      <c r="F9" s="1"/>
      <c r="G9" s="1"/>
      <c r="H9" s="1"/>
      <c r="I9" s="1"/>
      <c r="J9" s="1"/>
      <c r="K9" s="1"/>
      <c r="L9" s="1"/>
      <c r="M9" s="1"/>
    </row>
    <row r="10" spans="1:13" ht="14.95" customHeight="1" x14ac:dyDescent="0.25">
      <c r="A10" s="1"/>
      <c r="B10" s="1"/>
      <c r="C10" s="1"/>
      <c r="D10" s="1"/>
      <c r="E10" s="1"/>
      <c r="F10" s="1"/>
      <c r="G10" s="1"/>
      <c r="H10" s="1" t="s">
        <v>16</v>
      </c>
      <c r="I10" s="1"/>
      <c r="J10" s="1"/>
      <c r="K10" s="1"/>
      <c r="L10" s="1"/>
      <c r="M10" s="1"/>
    </row>
    <row r="11" spans="1:13" ht="14.95" customHeight="1" x14ac:dyDescent="0.25">
      <c r="A11" s="2" t="s">
        <v>17</v>
      </c>
      <c r="B11" s="3">
        <v>9700.4359999999997</v>
      </c>
      <c r="C11" s="3">
        <v>12305.539000000001</v>
      </c>
      <c r="D11" s="3">
        <v>12013.953</v>
      </c>
      <c r="E11" s="3">
        <v>7318.2860000000001</v>
      </c>
      <c r="F11" s="3">
        <v>5603.0559999999996</v>
      </c>
      <c r="G11" s="3">
        <v>5991.0649999999996</v>
      </c>
      <c r="H11" s="3">
        <v>6224.6890000000003</v>
      </c>
      <c r="I11" s="3">
        <v>5107.5029999999997</v>
      </c>
      <c r="J11" s="3">
        <v>3421.4090000000001</v>
      </c>
      <c r="K11" s="3">
        <v>3435.0920000000001</v>
      </c>
      <c r="L11" s="3">
        <v>2864.7730000000001</v>
      </c>
      <c r="M11" s="3">
        <v>2633.6889999999999</v>
      </c>
    </row>
    <row r="12" spans="1:13" ht="14.95" customHeight="1" outlineLevel="1" x14ac:dyDescent="0.2">
      <c r="A12" s="5" t="s">
        <v>18</v>
      </c>
      <c r="B12" s="6">
        <v>-24.432438000000001</v>
      </c>
      <c r="C12" s="7">
        <v>2.4270610000000001</v>
      </c>
      <c r="D12" s="7">
        <v>64.163482999999999</v>
      </c>
      <c r="E12" s="7">
        <v>30.612401999999999</v>
      </c>
      <c r="F12" s="6">
        <v>-6.476458</v>
      </c>
      <c r="G12" s="6">
        <v>-3.7531840000000001</v>
      </c>
      <c r="H12" s="7">
        <v>21.873428000000001</v>
      </c>
      <c r="I12" s="7">
        <v>49.280689000000002</v>
      </c>
      <c r="J12" s="6">
        <v>-0.39833299999999999</v>
      </c>
      <c r="K12" s="7">
        <v>19.908003000000001</v>
      </c>
      <c r="L12" s="7">
        <v>8.7741559999999996</v>
      </c>
      <c r="M12" s="6">
        <v>-2.4972080000000001</v>
      </c>
    </row>
    <row r="13" spans="1:13" ht="14.95" customHeight="1" outlineLevel="1" x14ac:dyDescent="0.25">
      <c r="A13" s="8" t="s">
        <v>19</v>
      </c>
      <c r="B13" s="3">
        <v>4860.4359999999997</v>
      </c>
      <c r="C13" s="3">
        <v>5387.7259999999997</v>
      </c>
      <c r="D13" s="3">
        <v>5503.5249999999996</v>
      </c>
      <c r="E13" s="3">
        <v>3327.4029999999998</v>
      </c>
      <c r="F13" s="3">
        <v>2339.511</v>
      </c>
      <c r="G13" s="3">
        <v>2408.0920000000001</v>
      </c>
      <c r="H13" s="3">
        <v>2403.5909999999999</v>
      </c>
      <c r="I13" s="3">
        <v>2345.4459999999999</v>
      </c>
      <c r="J13" s="3">
        <v>1266.4179999999999</v>
      </c>
      <c r="K13" s="3">
        <v>1273.383</v>
      </c>
      <c r="L13" s="3">
        <v>1061.739</v>
      </c>
      <c r="M13" s="3">
        <v>942.245</v>
      </c>
    </row>
    <row r="14" spans="1:13" ht="14.95" customHeight="1" outlineLevel="2" x14ac:dyDescent="0.2">
      <c r="A14" s="10" t="s">
        <v>20</v>
      </c>
      <c r="B14" s="11">
        <v>2740.4639999999999</v>
      </c>
      <c r="C14" s="11">
        <v>3094.623</v>
      </c>
      <c r="D14" s="11">
        <v>3206.0259999999998</v>
      </c>
      <c r="E14" s="11">
        <v>2252.7689999999998</v>
      </c>
      <c r="F14" s="11">
        <v>1528.588</v>
      </c>
      <c r="G14" s="11">
        <v>1596.8409999999999</v>
      </c>
      <c r="H14" s="11">
        <v>1604.528</v>
      </c>
      <c r="I14" s="11">
        <v>1761.3869999999999</v>
      </c>
      <c r="J14" s="11">
        <v>1056.6279999999999</v>
      </c>
      <c r="K14" s="11">
        <v>1051.19</v>
      </c>
      <c r="L14" s="11">
        <v>919.73900000000003</v>
      </c>
      <c r="M14" s="11">
        <v>831.82500000000005</v>
      </c>
    </row>
    <row r="15" spans="1:13" ht="14.95" customHeight="1" outlineLevel="2" x14ac:dyDescent="0.25">
      <c r="A15" s="12" t="s">
        <v>21</v>
      </c>
      <c r="B15" s="3">
        <v>2119.9720000000002</v>
      </c>
      <c r="C15" s="3">
        <v>2293.1030000000001</v>
      </c>
      <c r="D15" s="3">
        <v>2297.4989999999998</v>
      </c>
      <c r="E15" s="3">
        <v>1074.634</v>
      </c>
      <c r="F15" s="3">
        <v>810.923</v>
      </c>
      <c r="G15" s="3">
        <v>811.25099999999998</v>
      </c>
      <c r="H15" s="3">
        <v>799.06299999999999</v>
      </c>
      <c r="I15" s="3">
        <v>584.05899999999997</v>
      </c>
      <c r="J15" s="3">
        <v>209.79</v>
      </c>
      <c r="K15" s="3">
        <v>222.19300000000001</v>
      </c>
      <c r="L15" s="3">
        <v>142</v>
      </c>
      <c r="M15" s="3">
        <v>110.42</v>
      </c>
    </row>
    <row r="16" spans="1:13" ht="14.95" customHeight="1" outlineLevel="3" x14ac:dyDescent="0.2">
      <c r="A16" s="14" t="s">
        <v>22</v>
      </c>
      <c r="B16" s="11">
        <v>348.44900000000001</v>
      </c>
      <c r="C16" s="11">
        <v>334.70400000000001</v>
      </c>
      <c r="D16" s="11">
        <v>283.33800000000002</v>
      </c>
      <c r="E16" s="11">
        <v>231.27500000000001</v>
      </c>
      <c r="F16" s="11">
        <v>233.77500000000001</v>
      </c>
      <c r="G16" s="11">
        <v>240.67699999999999</v>
      </c>
      <c r="H16" s="11">
        <v>228.52500000000001</v>
      </c>
      <c r="I16" s="11">
        <v>194.666</v>
      </c>
      <c r="J16" s="11">
        <v>134.54</v>
      </c>
      <c r="K16" s="11">
        <v>130.1</v>
      </c>
      <c r="L16" s="11">
        <v>114.1</v>
      </c>
      <c r="M16" s="11">
        <v>110.2</v>
      </c>
    </row>
    <row r="17" spans="1:13" ht="14.95" customHeight="1" outlineLevel="3" x14ac:dyDescent="0.2">
      <c r="A17" s="13" t="s">
        <v>23</v>
      </c>
      <c r="B17" s="15">
        <v>1771.5229999999999</v>
      </c>
      <c r="C17" s="15">
        <v>1958.3989999999999</v>
      </c>
      <c r="D17" s="15">
        <v>2014.1610000000001</v>
      </c>
      <c r="E17" s="15">
        <v>843.35900000000004</v>
      </c>
      <c r="F17" s="15">
        <v>577.14800000000002</v>
      </c>
      <c r="G17" s="15">
        <v>570.57399999999996</v>
      </c>
      <c r="H17" s="15">
        <v>570.53800000000001</v>
      </c>
      <c r="I17" s="15">
        <v>389.39299999999997</v>
      </c>
      <c r="J17" s="15">
        <v>75.25</v>
      </c>
      <c r="K17" s="15">
        <v>92.093000000000004</v>
      </c>
      <c r="L17" s="15">
        <v>27.9</v>
      </c>
      <c r="M17" s="15">
        <v>0.22</v>
      </c>
    </row>
    <row r="18" spans="1:13" ht="14.95" customHeight="1" x14ac:dyDescent="0.25">
      <c r="A18" s="16" t="s">
        <v>24</v>
      </c>
      <c r="B18" s="17">
        <v>4840</v>
      </c>
      <c r="C18" s="17">
        <v>6917.8130000000001</v>
      </c>
      <c r="D18" s="17">
        <v>6510.4279999999999</v>
      </c>
      <c r="E18" s="17">
        <v>3990.8829999999998</v>
      </c>
      <c r="F18" s="17">
        <v>3263.5450000000001</v>
      </c>
      <c r="G18" s="17">
        <v>3582.973</v>
      </c>
      <c r="H18" s="17">
        <v>3821.098</v>
      </c>
      <c r="I18" s="17">
        <v>2762.0569999999998</v>
      </c>
      <c r="J18" s="17">
        <v>2154.991</v>
      </c>
      <c r="K18" s="17">
        <v>2161.7089999999998</v>
      </c>
      <c r="L18" s="17">
        <v>1803.0340000000001</v>
      </c>
      <c r="M18" s="17">
        <v>1691.444</v>
      </c>
    </row>
    <row r="19" spans="1:13" ht="14.95" customHeight="1" outlineLevel="1" x14ac:dyDescent="0.2">
      <c r="A19" s="4" t="s">
        <v>18</v>
      </c>
      <c r="B19" s="19">
        <v>-34.137515999999998</v>
      </c>
      <c r="C19" s="20">
        <v>6.2574189999999996</v>
      </c>
      <c r="D19" s="20">
        <v>63.132525999999999</v>
      </c>
      <c r="E19" s="20">
        <v>22.286749</v>
      </c>
      <c r="F19" s="19">
        <v>-8.915165</v>
      </c>
      <c r="G19" s="19">
        <v>-6.2318470000000001</v>
      </c>
      <c r="H19" s="20">
        <v>38.342475999999998</v>
      </c>
      <c r="I19" s="20">
        <v>28.170231000000001</v>
      </c>
      <c r="J19" s="19">
        <v>-0.31077300000000002</v>
      </c>
      <c r="K19" s="20">
        <v>19.892855000000001</v>
      </c>
      <c r="L19" s="20">
        <v>6.5973269999999999</v>
      </c>
      <c r="M19" s="19">
        <v>-3.0189300000000001</v>
      </c>
    </row>
    <row r="20" spans="1:13" ht="14.95" customHeight="1" outlineLevel="1" x14ac:dyDescent="0.2">
      <c r="A20" s="5" t="s">
        <v>25</v>
      </c>
      <c r="B20" s="7">
        <v>49.894665000000003</v>
      </c>
      <c r="C20" s="7">
        <v>56.217066000000003</v>
      </c>
      <c r="D20" s="7">
        <v>54.190556999999998</v>
      </c>
      <c r="E20" s="7">
        <v>54.533028999999999</v>
      </c>
      <c r="F20" s="7">
        <v>58.245804</v>
      </c>
      <c r="G20" s="7">
        <v>59.805276999999997</v>
      </c>
      <c r="H20" s="7">
        <v>61.386167</v>
      </c>
      <c r="I20" s="7">
        <v>54.078420999999999</v>
      </c>
      <c r="J20" s="7">
        <v>62.985483000000002</v>
      </c>
      <c r="K20" s="7">
        <v>62.930163</v>
      </c>
      <c r="L20" s="7">
        <v>62.938110999999999</v>
      </c>
      <c r="M20" s="7">
        <v>64.223376000000002</v>
      </c>
    </row>
    <row r="21" spans="1:13" ht="14.95" customHeight="1" outlineLevel="1" x14ac:dyDescent="0.25">
      <c r="A21" s="8" t="s">
        <v>26</v>
      </c>
      <c r="B21" s="3">
        <v>2601.7190000000001</v>
      </c>
      <c r="C21" s="3">
        <v>2935.9780000000001</v>
      </c>
      <c r="D21" s="3">
        <v>2981.8220000000001</v>
      </c>
      <c r="E21" s="3">
        <v>2076.0639999999999</v>
      </c>
      <c r="F21" s="3">
        <v>1690.327</v>
      </c>
      <c r="G21" s="3">
        <v>1784.454</v>
      </c>
      <c r="H21" s="3">
        <v>1859.808</v>
      </c>
      <c r="I21" s="3">
        <v>1591.069</v>
      </c>
      <c r="J21" s="3">
        <v>1104.4010000000001</v>
      </c>
      <c r="K21" s="3">
        <v>1120.4290000000001</v>
      </c>
      <c r="L21" s="3">
        <v>973.44799999999998</v>
      </c>
      <c r="M21" s="3">
        <v>908.52099999999996</v>
      </c>
    </row>
    <row r="22" spans="1:13" ht="14.95" customHeight="1" outlineLevel="2" x14ac:dyDescent="0.2">
      <c r="A22" s="10" t="s">
        <v>27</v>
      </c>
      <c r="B22" s="11">
        <v>1516.1959999999999</v>
      </c>
      <c r="C22" s="11">
        <v>1659.6559999999999</v>
      </c>
      <c r="D22" s="11">
        <v>1706.155</v>
      </c>
      <c r="E22" s="11">
        <v>1294.5039999999999</v>
      </c>
      <c r="F22" s="11">
        <v>1050.3920000000001</v>
      </c>
      <c r="G22" s="11">
        <v>1133.3040000000001</v>
      </c>
      <c r="H22" s="11">
        <v>1164.585</v>
      </c>
      <c r="I22" s="11">
        <v>968.596</v>
      </c>
      <c r="J22" s="11">
        <v>655.74199999999996</v>
      </c>
      <c r="K22" s="11">
        <v>642.79600000000005</v>
      </c>
      <c r="L22" s="11">
        <v>559.03800000000001</v>
      </c>
      <c r="M22" s="11">
        <v>512.44399999999996</v>
      </c>
    </row>
    <row r="23" spans="1:13" ht="14.95" customHeight="1" outlineLevel="2" x14ac:dyDescent="0.2">
      <c r="A23" s="9" t="s">
        <v>28</v>
      </c>
      <c r="B23" s="15">
        <v>1085.5229999999999</v>
      </c>
      <c r="C23" s="15">
        <v>1276.3219999999999</v>
      </c>
      <c r="D23" s="15">
        <v>1275.6669999999999</v>
      </c>
      <c r="E23" s="15">
        <v>781.56</v>
      </c>
      <c r="F23" s="15">
        <v>639.93499999999995</v>
      </c>
      <c r="G23" s="15">
        <v>651.15</v>
      </c>
      <c r="H23" s="15">
        <v>695.22299999999996</v>
      </c>
      <c r="I23" s="15">
        <v>622.47299999999996</v>
      </c>
      <c r="J23" s="15">
        <v>448.65899999999999</v>
      </c>
      <c r="K23" s="15">
        <v>477.63299999999998</v>
      </c>
      <c r="L23" s="15">
        <v>414.41</v>
      </c>
      <c r="M23" s="15">
        <v>396.077</v>
      </c>
    </row>
    <row r="24" spans="1:13" ht="14.95" customHeight="1" outlineLevel="1" x14ac:dyDescent="0.2">
      <c r="A24" s="5" t="s">
        <v>29</v>
      </c>
      <c r="B24" s="11">
        <v>0</v>
      </c>
      <c r="C24" s="11">
        <v>0</v>
      </c>
      <c r="D24" s="11">
        <v>0</v>
      </c>
      <c r="E24" s="11">
        <v>0</v>
      </c>
      <c r="F24" s="11">
        <v>0</v>
      </c>
      <c r="G24" s="11">
        <v>0</v>
      </c>
      <c r="H24" s="11">
        <v>0</v>
      </c>
      <c r="I24" s="11">
        <v>0</v>
      </c>
      <c r="J24" s="11">
        <v>0</v>
      </c>
      <c r="K24" s="11">
        <v>214.94900000000001</v>
      </c>
      <c r="L24" s="11">
        <v>0</v>
      </c>
      <c r="M24" s="11">
        <v>0</v>
      </c>
    </row>
    <row r="25" spans="1:13" ht="14.95" customHeight="1" x14ac:dyDescent="0.25">
      <c r="A25" s="2" t="s">
        <v>30</v>
      </c>
      <c r="B25" s="3">
        <v>2238.2809999999999</v>
      </c>
      <c r="C25" s="3">
        <v>3981.835</v>
      </c>
      <c r="D25" s="3">
        <v>3528.6060000000002</v>
      </c>
      <c r="E25" s="3">
        <v>1914.819</v>
      </c>
      <c r="F25" s="3">
        <v>1573.2180000000001</v>
      </c>
      <c r="G25" s="3">
        <v>1798.519</v>
      </c>
      <c r="H25" s="3">
        <v>1961.29</v>
      </c>
      <c r="I25" s="3">
        <v>1170.9880000000001</v>
      </c>
      <c r="J25" s="3">
        <v>1050.5899999999999</v>
      </c>
      <c r="K25" s="3">
        <v>826.33100000000002</v>
      </c>
      <c r="L25" s="3">
        <v>829.58600000000001</v>
      </c>
      <c r="M25" s="3">
        <v>782.923</v>
      </c>
    </row>
    <row r="26" spans="1:13" ht="14.95" customHeight="1" outlineLevel="1" x14ac:dyDescent="0.2">
      <c r="A26" s="5" t="s">
        <v>18</v>
      </c>
      <c r="B26" s="6">
        <v>-48.265827000000002</v>
      </c>
      <c r="C26" s="7">
        <v>12.84442</v>
      </c>
      <c r="D26" s="7">
        <v>84.278824</v>
      </c>
      <c r="E26" s="7">
        <v>21.713515999999998</v>
      </c>
      <c r="F26" s="6">
        <v>-12.52703</v>
      </c>
      <c r="G26" s="6">
        <v>-8.2991810000000008</v>
      </c>
      <c r="H26" s="7">
        <v>67.490189000000001</v>
      </c>
      <c r="I26" s="7">
        <v>11.460043000000001</v>
      </c>
      <c r="J26" s="7">
        <v>27.139119999999998</v>
      </c>
      <c r="K26" s="6">
        <v>-0.39236500000000002</v>
      </c>
      <c r="L26" s="7">
        <v>5.9601040000000003</v>
      </c>
      <c r="M26" s="6">
        <v>-7.0198049999999999</v>
      </c>
    </row>
    <row r="27" spans="1:13" ht="14.95" customHeight="1" outlineLevel="1" x14ac:dyDescent="0.2">
      <c r="A27" s="4" t="s">
        <v>25</v>
      </c>
      <c r="B27" s="20">
        <v>23.074024999999999</v>
      </c>
      <c r="C27" s="20">
        <v>32.358071000000002</v>
      </c>
      <c r="D27" s="20">
        <v>29.370899000000001</v>
      </c>
      <c r="E27" s="20">
        <v>26.164856</v>
      </c>
      <c r="F27" s="20">
        <v>28.077856000000001</v>
      </c>
      <c r="G27" s="20">
        <v>30.020021</v>
      </c>
      <c r="H27" s="20">
        <v>31.508241000000002</v>
      </c>
      <c r="I27" s="20">
        <v>22.926819999999999</v>
      </c>
      <c r="J27" s="20">
        <v>30.706354999999999</v>
      </c>
      <c r="K27" s="20">
        <v>24.055571</v>
      </c>
      <c r="L27" s="20">
        <v>28.958176000000002</v>
      </c>
      <c r="M27" s="20">
        <v>29.727238</v>
      </c>
    </row>
    <row r="28" spans="1:13" ht="14.95" customHeight="1" outlineLevel="1" x14ac:dyDescent="0.25">
      <c r="A28" s="21" t="s">
        <v>31</v>
      </c>
      <c r="B28" s="17">
        <v>39.04</v>
      </c>
      <c r="C28" s="17">
        <v>36.598999999999997</v>
      </c>
      <c r="D28" s="17">
        <v>59.982999999999997</v>
      </c>
      <c r="E28" s="17">
        <v>43.776000000000003</v>
      </c>
      <c r="F28" s="17">
        <v>5.9969999999999999</v>
      </c>
      <c r="G28" s="17">
        <v>13.38</v>
      </c>
      <c r="H28" s="17">
        <v>7.6070000000000002</v>
      </c>
      <c r="I28" s="17">
        <v>29.716000000000001</v>
      </c>
      <c r="J28" s="17">
        <v>22.053000000000001</v>
      </c>
      <c r="K28" s="17">
        <v>19.28</v>
      </c>
      <c r="L28" s="17">
        <v>12.409000000000001</v>
      </c>
      <c r="M28" s="17">
        <v>104.91</v>
      </c>
    </row>
    <row r="29" spans="1:13" ht="14.95" customHeight="1" outlineLevel="2" x14ac:dyDescent="0.2">
      <c r="A29" s="9" t="s">
        <v>32</v>
      </c>
      <c r="B29" s="15">
        <v>59.959000000000003</v>
      </c>
      <c r="C29" s="15">
        <v>41.286999999999999</v>
      </c>
      <c r="D29" s="15">
        <v>6.9059999999999997</v>
      </c>
      <c r="E29" s="15">
        <v>1.22</v>
      </c>
      <c r="F29" s="15">
        <v>4.3049999999999997</v>
      </c>
      <c r="G29" s="15">
        <v>10.228999999999999</v>
      </c>
      <c r="H29" s="15">
        <v>9.3829999999999991</v>
      </c>
      <c r="I29" s="15">
        <v>30.332999999999998</v>
      </c>
      <c r="J29" s="15">
        <v>21.221</v>
      </c>
      <c r="K29" s="15">
        <v>8.625</v>
      </c>
      <c r="L29" s="15">
        <v>12.173</v>
      </c>
      <c r="M29" s="15">
        <v>12.753</v>
      </c>
    </row>
    <row r="30" spans="1:13" ht="14.95" customHeight="1" outlineLevel="2" x14ac:dyDescent="0.2">
      <c r="A30" s="10" t="s">
        <v>33</v>
      </c>
      <c r="B30" s="22">
        <v>-20.919</v>
      </c>
      <c r="C30" s="22">
        <v>-4.6879999999999997</v>
      </c>
      <c r="D30" s="11">
        <v>53.076999999999998</v>
      </c>
      <c r="E30" s="11">
        <v>42.555999999999997</v>
      </c>
      <c r="F30" s="11">
        <v>1.6919999999999999</v>
      </c>
      <c r="G30" s="11">
        <v>3.1509999999999998</v>
      </c>
      <c r="H30" s="22">
        <v>-1.776</v>
      </c>
      <c r="I30" s="22">
        <v>-0.61699999999999999</v>
      </c>
      <c r="J30" s="11">
        <v>0.83199999999999996</v>
      </c>
      <c r="K30" s="11">
        <v>10.654999999999999</v>
      </c>
      <c r="L30" s="11">
        <v>0.23599999999999999</v>
      </c>
      <c r="M30" s="11">
        <v>92.156999999999996</v>
      </c>
    </row>
    <row r="31" spans="1:13" ht="14.95" customHeight="1" outlineLevel="1" x14ac:dyDescent="0.25">
      <c r="A31" s="8" t="s">
        <v>34</v>
      </c>
      <c r="B31" s="3">
        <v>296.089</v>
      </c>
      <c r="C31" s="3">
        <v>249.721</v>
      </c>
      <c r="D31" s="3">
        <v>215.33099999999999</v>
      </c>
      <c r="E31" s="3">
        <v>197.375</v>
      </c>
      <c r="F31" s="3">
        <v>195.161</v>
      </c>
      <c r="G31" s="3">
        <v>230.512</v>
      </c>
      <c r="H31" s="3">
        <v>252.26499999999999</v>
      </c>
      <c r="I31" s="3">
        <v>252.92</v>
      </c>
      <c r="J31" s="3">
        <v>90.725999999999999</v>
      </c>
      <c r="K31" s="3">
        <v>25.934000000000001</v>
      </c>
      <c r="L31" s="3">
        <v>33.689</v>
      </c>
      <c r="M31" s="3">
        <v>32.201999999999998</v>
      </c>
    </row>
    <row r="32" spans="1:13" ht="14.95" customHeight="1" outlineLevel="2" x14ac:dyDescent="0.2">
      <c r="A32" s="10" t="s">
        <v>35</v>
      </c>
      <c r="B32" s="11">
        <v>296.089</v>
      </c>
      <c r="C32" s="11">
        <v>249.721</v>
      </c>
      <c r="D32" s="11">
        <v>215.33099999999999</v>
      </c>
      <c r="E32" s="11">
        <v>197.375</v>
      </c>
      <c r="F32" s="11">
        <v>195.161</v>
      </c>
      <c r="G32" s="11">
        <v>230.512</v>
      </c>
      <c r="H32" s="11">
        <v>252.26499999999999</v>
      </c>
      <c r="I32" s="11">
        <v>252.92</v>
      </c>
      <c r="J32" s="11">
        <v>90.725999999999999</v>
      </c>
      <c r="K32" s="11">
        <v>25.934000000000001</v>
      </c>
      <c r="L32" s="11">
        <v>33.689</v>
      </c>
      <c r="M32" s="11">
        <v>32.201999999999998</v>
      </c>
    </row>
    <row r="33" spans="1:13" ht="14.95" customHeight="1" outlineLevel="1" x14ac:dyDescent="0.25">
      <c r="A33" s="8" t="s">
        <v>36</v>
      </c>
      <c r="B33" s="3">
        <v>148.434</v>
      </c>
      <c r="C33" s="3">
        <v>160.71</v>
      </c>
      <c r="D33" s="3">
        <v>274.50900000000001</v>
      </c>
      <c r="E33" s="3">
        <v>432.50599999999997</v>
      </c>
      <c r="F33" s="3">
        <v>72.436999999999998</v>
      </c>
      <c r="G33" s="3">
        <v>95.659000000000006</v>
      </c>
      <c r="H33" s="3">
        <v>61.317999999999998</v>
      </c>
      <c r="I33" s="3">
        <v>119.29900000000001</v>
      </c>
      <c r="J33" s="3">
        <v>24.995999999999999</v>
      </c>
      <c r="K33" s="3">
        <v>9.5630000000000006</v>
      </c>
      <c r="L33" s="3">
        <v>78.960999999999999</v>
      </c>
      <c r="M33" s="3">
        <v>40.308</v>
      </c>
    </row>
    <row r="34" spans="1:13" ht="14.95" customHeight="1" outlineLevel="2" x14ac:dyDescent="0.2">
      <c r="A34" s="10" t="s">
        <v>37</v>
      </c>
      <c r="B34" s="11">
        <v>0</v>
      </c>
      <c r="C34" s="11">
        <v>0</v>
      </c>
      <c r="D34" s="11">
        <v>0</v>
      </c>
      <c r="E34" s="23"/>
      <c r="F34" s="11">
        <v>0</v>
      </c>
      <c r="G34" s="11">
        <v>0</v>
      </c>
      <c r="H34" s="11">
        <v>0</v>
      </c>
      <c r="I34" s="11">
        <v>0.33600000000000002</v>
      </c>
      <c r="J34" s="22">
        <v>-0.88800000000000001</v>
      </c>
      <c r="K34" s="22">
        <v>-0.13700000000000001</v>
      </c>
      <c r="L34" s="11">
        <v>0.439</v>
      </c>
      <c r="M34" s="11">
        <v>0.26</v>
      </c>
    </row>
    <row r="35" spans="1:13" ht="14.95" customHeight="1" outlineLevel="2" x14ac:dyDescent="0.2">
      <c r="A35" s="9" t="s">
        <v>38</v>
      </c>
      <c r="B35" s="15">
        <v>148.434</v>
      </c>
      <c r="C35" s="15">
        <v>160.71</v>
      </c>
      <c r="D35" s="15">
        <v>274.50900000000001</v>
      </c>
      <c r="E35" s="15">
        <v>217.35599999999999</v>
      </c>
      <c r="F35" s="15">
        <v>72.436999999999998</v>
      </c>
      <c r="G35" s="15">
        <v>95.659000000000006</v>
      </c>
      <c r="H35" s="15">
        <v>61.317999999999998</v>
      </c>
      <c r="I35" s="15">
        <v>118.96299999999999</v>
      </c>
      <c r="J35" s="15">
        <v>25.884</v>
      </c>
      <c r="K35" s="15">
        <v>9.6999999999999993</v>
      </c>
      <c r="L35" s="15">
        <v>78.522000000000006</v>
      </c>
      <c r="M35" s="15">
        <v>29.847999999999999</v>
      </c>
    </row>
    <row r="36" spans="1:13" ht="14.95" customHeight="1" outlineLevel="2" x14ac:dyDescent="0.25">
      <c r="A36" s="24" t="s">
        <v>39</v>
      </c>
      <c r="B36" s="16"/>
      <c r="C36" s="17">
        <v>0</v>
      </c>
      <c r="D36" s="17">
        <v>0</v>
      </c>
      <c r="E36" s="17">
        <v>215.15</v>
      </c>
      <c r="F36" s="16"/>
      <c r="G36" s="16"/>
      <c r="H36" s="16"/>
      <c r="I36" s="16"/>
      <c r="J36" s="16"/>
      <c r="K36" s="16"/>
      <c r="L36" s="16"/>
      <c r="M36" s="17">
        <v>10.199999999999999</v>
      </c>
    </row>
    <row r="37" spans="1:13" ht="14.95" customHeight="1" outlineLevel="3" x14ac:dyDescent="0.2">
      <c r="A37" s="13" t="s">
        <v>40</v>
      </c>
      <c r="B37" s="25"/>
      <c r="C37" s="15">
        <v>0</v>
      </c>
      <c r="D37" s="15">
        <v>0</v>
      </c>
      <c r="E37" s="15">
        <v>215.15</v>
      </c>
      <c r="F37" s="25"/>
      <c r="G37" s="25"/>
      <c r="H37" s="25"/>
      <c r="I37" s="25"/>
      <c r="J37" s="25"/>
      <c r="K37" s="25"/>
      <c r="L37" s="25"/>
      <c r="M37" s="15">
        <v>10.199999999999999</v>
      </c>
    </row>
    <row r="38" spans="1:13" ht="14.95" customHeight="1" x14ac:dyDescent="0.25">
      <c r="A38" s="16" t="s">
        <v>41</v>
      </c>
      <c r="B38" s="17">
        <v>1832.798</v>
      </c>
      <c r="C38" s="17">
        <v>3608.0030000000002</v>
      </c>
      <c r="D38" s="17">
        <v>3098.7489999999998</v>
      </c>
      <c r="E38" s="17">
        <v>1328.7139999999999</v>
      </c>
      <c r="F38" s="17">
        <v>1311.617</v>
      </c>
      <c r="G38" s="17">
        <v>1485.7280000000001</v>
      </c>
      <c r="H38" s="17">
        <v>1655.3140000000001</v>
      </c>
      <c r="I38" s="17">
        <v>828.48500000000001</v>
      </c>
      <c r="J38" s="17">
        <v>956.92100000000005</v>
      </c>
      <c r="K38" s="17">
        <v>810.11400000000003</v>
      </c>
      <c r="L38" s="17">
        <v>729.34500000000003</v>
      </c>
      <c r="M38" s="17">
        <v>815.32299999999998</v>
      </c>
    </row>
    <row r="39" spans="1:13" ht="14.95" customHeight="1" outlineLevel="1" x14ac:dyDescent="0.2">
      <c r="A39" s="4" t="s">
        <v>18</v>
      </c>
      <c r="B39" s="19">
        <v>-55.124996000000003</v>
      </c>
      <c r="C39" s="20">
        <v>16.434176999999998</v>
      </c>
      <c r="D39" s="20">
        <v>133.21414200000001</v>
      </c>
      <c r="E39" s="20">
        <v>1.303509</v>
      </c>
      <c r="F39" s="19">
        <v>-11.718908000000001</v>
      </c>
      <c r="G39" s="19">
        <v>-10.244941000000001</v>
      </c>
      <c r="H39" s="20">
        <v>99.800117</v>
      </c>
      <c r="I39" s="19">
        <v>-13.421802</v>
      </c>
      <c r="J39" s="20">
        <v>18.121770999999999</v>
      </c>
      <c r="K39" s="20">
        <v>11.074189000000001</v>
      </c>
      <c r="L39" s="19">
        <v>-10.545272000000001</v>
      </c>
      <c r="M39" s="20">
        <v>0.220025</v>
      </c>
    </row>
    <row r="40" spans="1:13" ht="14.95" customHeight="1" outlineLevel="1" x14ac:dyDescent="0.2">
      <c r="A40" s="5" t="s">
        <v>25</v>
      </c>
      <c r="B40" s="7">
        <v>18.893975000000001</v>
      </c>
      <c r="C40" s="7">
        <v>29.320153999999999</v>
      </c>
      <c r="D40" s="7">
        <v>25.792918</v>
      </c>
      <c r="E40" s="7">
        <v>18.156082000000001</v>
      </c>
      <c r="F40" s="7">
        <v>23.408957999999998</v>
      </c>
      <c r="G40" s="7">
        <v>24.799063</v>
      </c>
      <c r="H40" s="7">
        <v>26.592718000000001</v>
      </c>
      <c r="I40" s="7">
        <v>16.220939999999999</v>
      </c>
      <c r="J40" s="7">
        <v>27.968623000000001</v>
      </c>
      <c r="K40" s="7">
        <v>23.583473000000001</v>
      </c>
      <c r="L40" s="7">
        <v>25.459085000000002</v>
      </c>
      <c r="M40" s="7">
        <v>30.957452</v>
      </c>
    </row>
    <row r="41" spans="1:13" ht="14.95" customHeight="1" outlineLevel="1" x14ac:dyDescent="0.25">
      <c r="A41" s="8" t="s">
        <v>42</v>
      </c>
      <c r="B41" s="3">
        <v>177.167</v>
      </c>
      <c r="C41" s="3">
        <v>293.42399999999998</v>
      </c>
      <c r="D41" s="3">
        <v>350.18799999999999</v>
      </c>
      <c r="E41" s="3">
        <v>-61.707999999999998</v>
      </c>
      <c r="F41" s="3">
        <v>90.855999999999995</v>
      </c>
      <c r="G41" s="3">
        <v>122.717</v>
      </c>
      <c r="H41" s="3">
        <v>148.334</v>
      </c>
      <c r="I41" s="3">
        <v>101.226</v>
      </c>
      <c r="J41" s="3">
        <v>95.257000000000005</v>
      </c>
      <c r="K41" s="3">
        <v>113.236</v>
      </c>
      <c r="L41" s="3">
        <v>100.02500000000001</v>
      </c>
      <c r="M41" s="3">
        <v>141.83600000000001</v>
      </c>
    </row>
    <row r="42" spans="1:13" ht="14.95" customHeight="1" outlineLevel="2" x14ac:dyDescent="0.2">
      <c r="A42" s="10" t="s">
        <v>43</v>
      </c>
      <c r="B42" s="23"/>
      <c r="C42" s="11">
        <v>314.91800000000001</v>
      </c>
      <c r="D42" s="11">
        <v>317.77</v>
      </c>
      <c r="E42" s="11">
        <v>142.42400000000001</v>
      </c>
      <c r="F42" s="11">
        <v>69.757999999999996</v>
      </c>
      <c r="G42" s="11">
        <v>74.051000000000002</v>
      </c>
      <c r="H42" s="11">
        <v>830.89099999999996</v>
      </c>
      <c r="I42" s="11">
        <v>864.99900000000002</v>
      </c>
      <c r="J42" s="11">
        <v>29.199000000000002</v>
      </c>
      <c r="K42" s="11">
        <v>66.637</v>
      </c>
      <c r="L42" s="11">
        <v>128.90700000000001</v>
      </c>
      <c r="M42" s="11">
        <v>88.879000000000005</v>
      </c>
    </row>
    <row r="43" spans="1:13" ht="14.95" customHeight="1" outlineLevel="2" x14ac:dyDescent="0.2">
      <c r="A43" s="9" t="s">
        <v>44</v>
      </c>
      <c r="B43" s="25"/>
      <c r="C43" s="15">
        <v>431.452</v>
      </c>
      <c r="D43" s="15">
        <v>359.173</v>
      </c>
      <c r="E43" s="15">
        <v>202.79</v>
      </c>
      <c r="F43" s="15">
        <v>135.04599999999999</v>
      </c>
      <c r="G43" s="15">
        <v>139.91900000000001</v>
      </c>
      <c r="H43" s="15">
        <v>47.819000000000003</v>
      </c>
      <c r="I43" s="15">
        <v>62.095999999999997</v>
      </c>
      <c r="J43" s="15">
        <v>57.933999999999997</v>
      </c>
      <c r="K43" s="15">
        <v>98.813000000000002</v>
      </c>
      <c r="L43" s="15">
        <v>48.829000000000001</v>
      </c>
      <c r="M43" s="15">
        <v>70.656000000000006</v>
      </c>
    </row>
    <row r="44" spans="1:13" ht="14.95" customHeight="1" outlineLevel="2" x14ac:dyDescent="0.2">
      <c r="A44" s="10" t="s">
        <v>45</v>
      </c>
      <c r="B44" s="23"/>
      <c r="C44" s="22">
        <v>-506.678</v>
      </c>
      <c r="D44" s="22">
        <v>-342.38900000000001</v>
      </c>
      <c r="E44" s="11">
        <v>503.09699999999998</v>
      </c>
      <c r="F44" s="22">
        <v>-171.91300000000001</v>
      </c>
      <c r="G44" s="22">
        <v>-162.09899999999999</v>
      </c>
      <c r="H44" s="22">
        <v>-737.07100000000003</v>
      </c>
      <c r="I44" s="22">
        <v>-819.76300000000003</v>
      </c>
      <c r="J44" s="11">
        <v>3.145</v>
      </c>
      <c r="K44" s="22">
        <v>-27.391999999999999</v>
      </c>
      <c r="L44" s="22">
        <v>-75.376000000000005</v>
      </c>
      <c r="M44" s="22">
        <v>-16.2</v>
      </c>
    </row>
    <row r="45" spans="1:13" ht="14.95" customHeight="1" outlineLevel="2" x14ac:dyDescent="0.2">
      <c r="A45" s="9" t="s">
        <v>46</v>
      </c>
      <c r="B45" s="25"/>
      <c r="C45" s="15">
        <v>53.731999999999999</v>
      </c>
      <c r="D45" s="15">
        <v>15.634</v>
      </c>
      <c r="E45" s="26">
        <v>-910.01900000000001</v>
      </c>
      <c r="F45" s="15">
        <v>57.965000000000003</v>
      </c>
      <c r="G45" s="15">
        <v>70.846000000000004</v>
      </c>
      <c r="H45" s="15">
        <v>6.6950000000000003</v>
      </c>
      <c r="I45" s="26">
        <v>-6.1059999999999999</v>
      </c>
      <c r="J45" s="15">
        <v>4.9790000000000001</v>
      </c>
      <c r="K45" s="26">
        <v>-24.821999999999999</v>
      </c>
      <c r="L45" s="26">
        <v>-2.335</v>
      </c>
      <c r="M45" s="26">
        <v>-1.4990000000000001</v>
      </c>
    </row>
    <row r="46" spans="1:13" ht="14.95" customHeight="1" outlineLevel="1" x14ac:dyDescent="0.2">
      <c r="A46" s="5" t="s">
        <v>47</v>
      </c>
      <c r="B46" s="11">
        <v>0</v>
      </c>
      <c r="C46" s="11">
        <v>0</v>
      </c>
      <c r="D46" s="11">
        <v>0</v>
      </c>
      <c r="E46" s="11">
        <v>0</v>
      </c>
      <c r="F46" s="11">
        <v>0</v>
      </c>
      <c r="G46" s="22">
        <v>-3.2290000000000001</v>
      </c>
      <c r="H46" s="22">
        <v>-5.9089999999999998</v>
      </c>
      <c r="I46" s="22">
        <v>-2.2429999999999999</v>
      </c>
      <c r="J46" s="11">
        <v>0</v>
      </c>
      <c r="K46" s="11">
        <v>0</v>
      </c>
      <c r="L46" s="11">
        <v>0</v>
      </c>
      <c r="M46" s="11">
        <v>0</v>
      </c>
    </row>
    <row r="47" spans="1:13" ht="14.95" customHeight="1" x14ac:dyDescent="0.25">
      <c r="A47" s="2" t="s">
        <v>48</v>
      </c>
      <c r="B47" s="3">
        <v>1655.6310000000001</v>
      </c>
      <c r="C47" s="3">
        <v>3314.5790000000002</v>
      </c>
      <c r="D47" s="3">
        <v>2748.5610000000001</v>
      </c>
      <c r="E47" s="3">
        <v>1390.422</v>
      </c>
      <c r="F47" s="3">
        <v>1220.761</v>
      </c>
      <c r="G47" s="3">
        <v>1359.7819999999999</v>
      </c>
      <c r="H47" s="3">
        <v>1501.0709999999999</v>
      </c>
      <c r="I47" s="3">
        <v>725.01599999999996</v>
      </c>
      <c r="J47" s="3">
        <v>861.66399999999999</v>
      </c>
      <c r="K47" s="3">
        <v>696.87800000000004</v>
      </c>
      <c r="L47" s="3">
        <v>629.32000000000005</v>
      </c>
      <c r="M47" s="3">
        <v>673.48699999999997</v>
      </c>
    </row>
    <row r="48" spans="1:13" ht="14.95" customHeight="1" outlineLevel="1" x14ac:dyDescent="0.2">
      <c r="A48" s="5" t="s">
        <v>18</v>
      </c>
      <c r="B48" s="6">
        <v>-55.877785000000003</v>
      </c>
      <c r="C48" s="7">
        <v>20.593250000000001</v>
      </c>
      <c r="D48" s="7">
        <v>97.678184999999999</v>
      </c>
      <c r="E48" s="7">
        <v>13.897971999999999</v>
      </c>
      <c r="F48" s="6">
        <v>-10.223770999999999</v>
      </c>
      <c r="G48" s="6">
        <v>-9.4125499999999995</v>
      </c>
      <c r="H48" s="7">
        <v>107.03971900000001</v>
      </c>
      <c r="I48" s="6">
        <v>-15.858618999999999</v>
      </c>
      <c r="J48" s="7">
        <v>23.646322000000001</v>
      </c>
      <c r="K48" s="7">
        <v>10.735077</v>
      </c>
      <c r="L48" s="6">
        <v>-6.557957</v>
      </c>
      <c r="M48" s="7">
        <v>3.4167299999999998</v>
      </c>
    </row>
    <row r="49" spans="1:13" ht="14.95" customHeight="1" outlineLevel="1" x14ac:dyDescent="0.2">
      <c r="A49" s="4" t="s">
        <v>25</v>
      </c>
      <c r="B49" s="20">
        <v>17.067594</v>
      </c>
      <c r="C49" s="20">
        <v>26.935666999999999</v>
      </c>
      <c r="D49" s="20">
        <v>22.878074000000002</v>
      </c>
      <c r="E49" s="20">
        <v>18.999285</v>
      </c>
      <c r="F49" s="20">
        <v>21.787413999999998</v>
      </c>
      <c r="G49" s="20">
        <v>22.696833000000002</v>
      </c>
      <c r="H49" s="20">
        <v>24.114795000000001</v>
      </c>
      <c r="I49" s="20">
        <v>14.195116000000001</v>
      </c>
      <c r="J49" s="20">
        <v>25.184477999999999</v>
      </c>
      <c r="K49" s="20">
        <v>20.287026000000001</v>
      </c>
      <c r="L49" s="20">
        <v>21.967535000000002</v>
      </c>
      <c r="M49" s="20">
        <v>25.572002000000001</v>
      </c>
    </row>
    <row r="50" spans="1:13" ht="14.95" customHeight="1" x14ac:dyDescent="0.25">
      <c r="A50" s="16" t="s">
        <v>49</v>
      </c>
      <c r="B50" s="17">
        <v>1655.6310000000001</v>
      </c>
      <c r="C50" s="17">
        <v>3314.5790000000002</v>
      </c>
      <c r="D50" s="17">
        <v>2748.5610000000001</v>
      </c>
      <c r="E50" s="17">
        <v>1390.422</v>
      </c>
      <c r="F50" s="17">
        <v>1220.761</v>
      </c>
      <c r="G50" s="17">
        <v>1359.7819999999999</v>
      </c>
      <c r="H50" s="17">
        <v>1501.0709999999999</v>
      </c>
      <c r="I50" s="17">
        <v>725.01599999999996</v>
      </c>
      <c r="J50" s="17">
        <v>861.66399999999999</v>
      </c>
      <c r="K50" s="17">
        <v>696.87800000000004</v>
      </c>
      <c r="L50" s="17">
        <v>629.32000000000005</v>
      </c>
      <c r="M50" s="17">
        <v>673.48699999999997</v>
      </c>
    </row>
    <row r="51" spans="1:13" ht="14.95" customHeight="1" outlineLevel="1" x14ac:dyDescent="0.2">
      <c r="A51" s="4" t="s">
        <v>18</v>
      </c>
      <c r="B51" s="19">
        <v>-55.877785000000003</v>
      </c>
      <c r="C51" s="20">
        <v>20.593250000000001</v>
      </c>
      <c r="D51" s="20">
        <v>97.678184999999999</v>
      </c>
      <c r="E51" s="20">
        <v>13.897971999999999</v>
      </c>
      <c r="F51" s="19">
        <v>-10.223770999999999</v>
      </c>
      <c r="G51" s="19">
        <v>-9.4125499999999995</v>
      </c>
      <c r="H51" s="20">
        <v>107.03971900000001</v>
      </c>
      <c r="I51" s="19">
        <v>-15.858618999999999</v>
      </c>
      <c r="J51" s="20">
        <v>23.646322000000001</v>
      </c>
      <c r="K51" s="20">
        <v>10.735077</v>
      </c>
      <c r="L51" s="19">
        <v>-6.557957</v>
      </c>
      <c r="M51" s="20">
        <v>3.4167299999999998</v>
      </c>
    </row>
    <row r="52" spans="1:13" ht="14.95" customHeight="1" outlineLevel="1" x14ac:dyDescent="0.2">
      <c r="A52" s="5" t="s">
        <v>25</v>
      </c>
      <c r="B52" s="7">
        <v>17.067594</v>
      </c>
      <c r="C52" s="7">
        <v>26.935666999999999</v>
      </c>
      <c r="D52" s="7">
        <v>22.878074000000002</v>
      </c>
      <c r="E52" s="7">
        <v>18.999285</v>
      </c>
      <c r="F52" s="7">
        <v>21.787413999999998</v>
      </c>
      <c r="G52" s="7">
        <v>22.696833000000002</v>
      </c>
      <c r="H52" s="7">
        <v>24.114795000000001</v>
      </c>
      <c r="I52" s="7">
        <v>14.195116000000001</v>
      </c>
      <c r="J52" s="7">
        <v>25.184477999999999</v>
      </c>
      <c r="K52" s="7">
        <v>20.287026000000001</v>
      </c>
      <c r="L52" s="7">
        <v>21.967535000000002</v>
      </c>
      <c r="M52" s="7">
        <v>25.572002000000001</v>
      </c>
    </row>
    <row r="53" spans="1:13" ht="14.95" customHeight="1" outlineLevel="1" x14ac:dyDescent="0.2">
      <c r="A53" s="4" t="s">
        <v>50</v>
      </c>
      <c r="B53" s="15">
        <v>1655.6310000000001</v>
      </c>
      <c r="C53" s="15">
        <v>3314.5790000000002</v>
      </c>
      <c r="D53" s="15">
        <v>2748.5610000000001</v>
      </c>
      <c r="E53" s="15">
        <v>1390.422</v>
      </c>
      <c r="F53" s="15">
        <v>1220.761</v>
      </c>
      <c r="G53" s="15">
        <v>1359.7819999999999</v>
      </c>
      <c r="H53" s="15">
        <v>1501.0709999999999</v>
      </c>
      <c r="I53" s="15">
        <v>725.01599999999996</v>
      </c>
      <c r="J53" s="15">
        <v>861.66399999999999</v>
      </c>
      <c r="K53" s="15">
        <v>696.87800000000004</v>
      </c>
      <c r="L53" s="15">
        <v>629.32000000000005</v>
      </c>
      <c r="M53" s="15">
        <v>673.48699999999997</v>
      </c>
    </row>
    <row r="54" spans="1:13" ht="14.95" customHeight="1" x14ac:dyDescent="0.25">
      <c r="A54" s="16" t="s">
        <v>51</v>
      </c>
      <c r="B54" s="16"/>
      <c r="C54" s="16"/>
      <c r="D54" s="16"/>
      <c r="E54" s="16"/>
      <c r="F54" s="16"/>
      <c r="G54" s="16"/>
      <c r="H54" s="16"/>
      <c r="I54" s="16"/>
      <c r="J54" s="16"/>
      <c r="K54" s="16"/>
      <c r="L54" s="16"/>
      <c r="M54" s="16"/>
    </row>
    <row r="55" spans="1:13" ht="14.95" customHeight="1" outlineLevel="1" x14ac:dyDescent="0.2">
      <c r="A55" s="4" t="s">
        <v>52</v>
      </c>
      <c r="B55" s="20">
        <v>3.5275780000000001</v>
      </c>
      <c r="C55" s="20">
        <v>6.7734259999999997</v>
      </c>
      <c r="D55" s="20">
        <v>5.6208729999999996</v>
      </c>
      <c r="E55" s="20">
        <v>4.219354</v>
      </c>
      <c r="F55" s="20">
        <v>3.4181699999999999</v>
      </c>
      <c r="G55" s="20">
        <v>3.8263720000000001</v>
      </c>
      <c r="H55" s="20">
        <v>4.1179969999999999</v>
      </c>
      <c r="I55" s="20">
        <v>2.3068819999999999</v>
      </c>
      <c r="J55" s="20">
        <v>2.815045</v>
      </c>
      <c r="K55" s="20">
        <v>2.220367</v>
      </c>
      <c r="L55" s="20">
        <v>2.1526239999999999</v>
      </c>
      <c r="M55" s="20">
        <v>2.2344300000000001</v>
      </c>
    </row>
    <row r="56" spans="1:13" ht="14.95" customHeight="1" outlineLevel="1" x14ac:dyDescent="0.25">
      <c r="A56" s="21" t="s">
        <v>53</v>
      </c>
      <c r="B56" s="27">
        <v>3.3355000000000001</v>
      </c>
      <c r="C56" s="27">
        <v>6.5997000000000003</v>
      </c>
      <c r="D56" s="27">
        <v>5.2935999999999996</v>
      </c>
      <c r="E56" s="27">
        <v>3.4982000000000002</v>
      </c>
      <c r="F56" s="27">
        <v>3.3115999999999999</v>
      </c>
      <c r="G56" s="27">
        <v>3.6837</v>
      </c>
      <c r="H56" s="27">
        <v>4.0522</v>
      </c>
      <c r="I56" s="27">
        <v>2.09</v>
      </c>
      <c r="J56" s="27">
        <v>2.79</v>
      </c>
      <c r="K56" s="27">
        <v>2.23</v>
      </c>
      <c r="L56" s="27">
        <v>2.0099999999999998</v>
      </c>
      <c r="M56" s="27">
        <v>2.1882999999999999</v>
      </c>
    </row>
    <row r="57" spans="1:13" ht="14.95" customHeight="1" outlineLevel="2" x14ac:dyDescent="0.2">
      <c r="A57" s="9" t="s">
        <v>54</v>
      </c>
      <c r="B57" s="20">
        <v>496.33800000000002</v>
      </c>
      <c r="C57" s="20">
        <v>502.23200000000003</v>
      </c>
      <c r="D57" s="20">
        <v>519.226</v>
      </c>
      <c r="E57" s="20">
        <v>397.46199999999999</v>
      </c>
      <c r="F57" s="20">
        <v>368.63299999999998</v>
      </c>
      <c r="G57" s="20">
        <v>369.13299999999998</v>
      </c>
      <c r="H57" s="20">
        <v>370.43</v>
      </c>
      <c r="I57" s="20">
        <v>346.37099999999998</v>
      </c>
      <c r="J57" s="20">
        <v>308.73599999999999</v>
      </c>
      <c r="K57" s="20">
        <v>312.66000000000003</v>
      </c>
      <c r="L57" s="20">
        <v>313.19499999999999</v>
      </c>
      <c r="M57" s="20">
        <v>307.76299999999998</v>
      </c>
    </row>
    <row r="58" spans="1:13" ht="14.95" customHeight="1" outlineLevel="2" x14ac:dyDescent="0.2">
      <c r="A58" s="10" t="s">
        <v>55</v>
      </c>
      <c r="B58" s="7">
        <v>496.49345499999998</v>
      </c>
      <c r="C58" s="7">
        <v>496.26167800000002</v>
      </c>
      <c r="D58" s="7">
        <v>509.29594100000003</v>
      </c>
      <c r="E58" s="7">
        <v>525.33067200000005</v>
      </c>
      <c r="F58" s="7">
        <v>369.48489899999998</v>
      </c>
      <c r="G58" s="7">
        <v>368.302369</v>
      </c>
      <c r="H58" s="7">
        <v>370.15955300000002</v>
      </c>
      <c r="I58" s="7">
        <v>368.63578799999999</v>
      </c>
      <c r="J58" s="7">
        <v>308.17056000000002</v>
      </c>
      <c r="K58" s="7">
        <v>312.06068199999999</v>
      </c>
      <c r="L58" s="7">
        <v>311.204926</v>
      </c>
      <c r="M58" s="7">
        <v>311.04508399999997</v>
      </c>
    </row>
    <row r="59" spans="1:13" ht="14.95" customHeight="1" outlineLevel="1" x14ac:dyDescent="0.25">
      <c r="A59" s="8" t="s">
        <v>56</v>
      </c>
      <c r="B59" s="28">
        <v>3.3163</v>
      </c>
      <c r="C59" s="28">
        <v>6.5510999999999999</v>
      </c>
      <c r="D59" s="28">
        <v>5.2535999999999996</v>
      </c>
      <c r="E59" s="28">
        <v>3.4649000000000001</v>
      </c>
      <c r="F59" s="28">
        <v>3.2818000000000001</v>
      </c>
      <c r="G59" s="28">
        <v>3.6467999999999998</v>
      </c>
      <c r="H59" s="28">
        <v>4.0034999999999998</v>
      </c>
      <c r="I59" s="28">
        <v>2.0699999999999998</v>
      </c>
      <c r="J59" s="28">
        <v>2.76</v>
      </c>
      <c r="K59" s="28">
        <v>2.2000000000000002</v>
      </c>
      <c r="L59" s="28">
        <v>1.98</v>
      </c>
      <c r="M59" s="28">
        <v>2.1446000000000001</v>
      </c>
    </row>
    <row r="60" spans="1:13" ht="14.95" customHeight="1" outlineLevel="2" x14ac:dyDescent="0.2">
      <c r="A60" s="10" t="s">
        <v>57</v>
      </c>
      <c r="B60" s="7">
        <v>498.79399999999998</v>
      </c>
      <c r="C60" s="7">
        <v>505.959</v>
      </c>
      <c r="D60" s="7">
        <v>523.178</v>
      </c>
      <c r="E60" s="7">
        <v>401.28800000000001</v>
      </c>
      <c r="F60" s="7">
        <v>371.97300000000001</v>
      </c>
      <c r="G60" s="7">
        <v>372.87099999999998</v>
      </c>
      <c r="H60" s="7">
        <v>374.93799999999999</v>
      </c>
      <c r="I60" s="7">
        <v>350.48399999999998</v>
      </c>
      <c r="J60" s="7">
        <v>312.30799999999999</v>
      </c>
      <c r="K60" s="7">
        <v>316.87200000000001</v>
      </c>
      <c r="L60" s="7">
        <v>318.02699999999999</v>
      </c>
      <c r="M60" s="7">
        <v>314.041</v>
      </c>
    </row>
    <row r="61" spans="1:13" ht="14.95" customHeight="1" outlineLevel="2" x14ac:dyDescent="0.2">
      <c r="A61" s="9" t="s">
        <v>55</v>
      </c>
      <c r="B61" s="20">
        <v>496.49345499999998</v>
      </c>
      <c r="C61" s="20">
        <v>496.26167800000002</v>
      </c>
      <c r="D61" s="20">
        <v>509.29594100000003</v>
      </c>
      <c r="E61" s="20">
        <v>525.33067200000005</v>
      </c>
      <c r="F61" s="20">
        <v>369.48489899999998</v>
      </c>
      <c r="G61" s="20">
        <v>368.302369</v>
      </c>
      <c r="H61" s="20">
        <v>370.15955300000002</v>
      </c>
      <c r="I61" s="20">
        <v>368.63578799999999</v>
      </c>
      <c r="J61" s="20">
        <v>308.17056000000002</v>
      </c>
      <c r="K61" s="20">
        <v>312.06068199999999</v>
      </c>
      <c r="L61" s="20">
        <v>311.204926</v>
      </c>
      <c r="M61" s="20">
        <v>311.04508399999997</v>
      </c>
    </row>
    <row r="62" spans="1:13" ht="14.95" customHeight="1" outlineLevel="1" x14ac:dyDescent="0.2">
      <c r="A62" s="5" t="s">
        <v>58</v>
      </c>
      <c r="B62" s="23"/>
      <c r="C62" s="7">
        <v>97.093000000000004</v>
      </c>
      <c r="D62" s="7">
        <v>91.84</v>
      </c>
      <c r="E62" s="7">
        <v>64.465000000000003</v>
      </c>
      <c r="F62" s="7">
        <v>92.49</v>
      </c>
      <c r="G62" s="7">
        <v>92.106999999999999</v>
      </c>
      <c r="H62" s="7">
        <v>92.268000000000001</v>
      </c>
      <c r="I62" s="7">
        <v>49.442</v>
      </c>
      <c r="J62" s="7">
        <v>80.546000000000006</v>
      </c>
      <c r="K62" s="7">
        <v>87.656000000000006</v>
      </c>
      <c r="L62" s="7">
        <v>63.627000000000002</v>
      </c>
      <c r="M62" s="7">
        <v>67.239999999999995</v>
      </c>
    </row>
    <row r="63" spans="1:13" ht="14.95" customHeight="1" outlineLevel="1" x14ac:dyDescent="0.25">
      <c r="A63" s="8" t="s">
        <v>59</v>
      </c>
      <c r="B63" s="28">
        <v>3.56</v>
      </c>
      <c r="C63" s="28">
        <v>3.34</v>
      </c>
      <c r="D63" s="28">
        <v>2.97</v>
      </c>
      <c r="E63" s="28">
        <v>2.69</v>
      </c>
      <c r="F63" s="28">
        <v>2.4</v>
      </c>
      <c r="G63" s="28">
        <v>2.1</v>
      </c>
      <c r="H63" s="28">
        <v>1.89</v>
      </c>
      <c r="I63" s="28">
        <v>1.77</v>
      </c>
      <c r="J63" s="28">
        <v>1.66</v>
      </c>
      <c r="K63" s="28">
        <v>1.57</v>
      </c>
      <c r="L63" s="28">
        <v>1.45</v>
      </c>
      <c r="M63" s="28">
        <v>1.32</v>
      </c>
    </row>
    <row r="64" spans="1:13" ht="14.95" customHeight="1" outlineLevel="2" x14ac:dyDescent="0.2">
      <c r="A64" s="10" t="s">
        <v>60</v>
      </c>
      <c r="B64" s="7">
        <v>107.348551</v>
      </c>
      <c r="C64" s="7">
        <v>50.983803999999999</v>
      </c>
      <c r="D64" s="7">
        <v>56.532662999999999</v>
      </c>
      <c r="E64" s="7">
        <v>77.635717999999997</v>
      </c>
      <c r="F64" s="7">
        <v>73.130599000000004</v>
      </c>
      <c r="G64" s="7">
        <v>57.584732000000002</v>
      </c>
      <c r="H64" s="7">
        <v>47.208691999999999</v>
      </c>
      <c r="I64" s="7">
        <v>85.507245999999995</v>
      </c>
      <c r="J64" s="7">
        <v>60.144928</v>
      </c>
      <c r="K64" s="7">
        <v>71.363636</v>
      </c>
      <c r="L64" s="7">
        <v>73.232322999999994</v>
      </c>
      <c r="M64" s="7">
        <v>61.549939000000002</v>
      </c>
    </row>
    <row r="65" spans="1:13" ht="14.95" customHeight="1" x14ac:dyDescent="0.25">
      <c r="A65" s="2" t="s">
        <v>61</v>
      </c>
      <c r="B65" s="2"/>
      <c r="C65" s="2"/>
      <c r="D65" s="2"/>
      <c r="E65" s="2"/>
      <c r="F65" s="2"/>
      <c r="G65" s="2"/>
      <c r="H65" s="2"/>
      <c r="I65" s="2"/>
      <c r="J65" s="2"/>
      <c r="K65" s="2"/>
      <c r="L65" s="2"/>
      <c r="M65" s="2"/>
    </row>
    <row r="66" spans="1:13" ht="14.95" customHeight="1" outlineLevel="1" x14ac:dyDescent="0.25">
      <c r="A66" s="21" t="s">
        <v>61</v>
      </c>
      <c r="B66" s="29">
        <v>4358.2529999999997</v>
      </c>
      <c r="C66" s="29">
        <v>6274.9380000000001</v>
      </c>
      <c r="D66" s="29">
        <v>5826.1049999999996</v>
      </c>
      <c r="E66" s="29">
        <v>2989.453</v>
      </c>
      <c r="F66" s="29">
        <v>2384.1410000000001</v>
      </c>
      <c r="G66" s="29">
        <v>2609.77</v>
      </c>
      <c r="H66" s="29">
        <v>2760.3530000000001</v>
      </c>
      <c r="I66" s="29">
        <v>1755.047</v>
      </c>
      <c r="J66" s="29">
        <v>1260.3800000000001</v>
      </c>
      <c r="K66" s="29">
        <v>1048.5239999999999</v>
      </c>
      <c r="L66" s="29">
        <v>971.58600000000001</v>
      </c>
      <c r="M66" s="29">
        <v>893.34299999999996</v>
      </c>
    </row>
    <row r="67" spans="1:13" ht="14.95" customHeight="1" outlineLevel="2" x14ac:dyDescent="0.2">
      <c r="A67" s="9" t="s">
        <v>62</v>
      </c>
      <c r="B67" s="30">
        <v>2238.2809999999999</v>
      </c>
      <c r="C67" s="30">
        <v>3981.835</v>
      </c>
      <c r="D67" s="30">
        <v>3528.6060000000002</v>
      </c>
      <c r="E67" s="30">
        <v>1914.819</v>
      </c>
      <c r="F67" s="30">
        <v>1573.2180000000001</v>
      </c>
      <c r="G67" s="30">
        <v>1798.519</v>
      </c>
      <c r="H67" s="30">
        <v>1961.29</v>
      </c>
      <c r="I67" s="30">
        <v>1170.9880000000001</v>
      </c>
      <c r="J67" s="30">
        <v>1050.5899999999999</v>
      </c>
      <c r="K67" s="30">
        <v>826.33100000000002</v>
      </c>
      <c r="L67" s="30">
        <v>829.58600000000001</v>
      </c>
      <c r="M67" s="30">
        <v>782.923</v>
      </c>
    </row>
    <row r="68" spans="1:13" ht="14.95" customHeight="1" outlineLevel="2" x14ac:dyDescent="0.2">
      <c r="A68" s="10" t="s">
        <v>21</v>
      </c>
      <c r="B68" s="31">
        <v>2119.9720000000002</v>
      </c>
      <c r="C68" s="31">
        <v>2293.1030000000001</v>
      </c>
      <c r="D68" s="31">
        <v>2297.4989999999998</v>
      </c>
      <c r="E68" s="31">
        <v>1074.634</v>
      </c>
      <c r="F68" s="31">
        <v>810.923</v>
      </c>
      <c r="G68" s="31">
        <v>811.25099999999998</v>
      </c>
      <c r="H68" s="31">
        <v>799.06299999999999</v>
      </c>
      <c r="I68" s="31">
        <v>584.05899999999997</v>
      </c>
      <c r="J68" s="31">
        <v>209.79</v>
      </c>
      <c r="K68" s="31">
        <v>222.19300000000001</v>
      </c>
      <c r="L68" s="31">
        <v>142</v>
      </c>
      <c r="M68" s="31">
        <v>110.42</v>
      </c>
    </row>
    <row r="69" spans="1:13" ht="14.95" customHeight="1" x14ac:dyDescent="0.2">
      <c r="A69" s="32" t="s">
        <v>63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35764-4BFF-994A-88B2-343B2BDD577C}">
  <sheetPr>
    <outlinePr summaryBelow="0" summaryRight="0"/>
  </sheetPr>
  <dimension ref="A1:L112"/>
  <sheetViews>
    <sheetView workbookViewId="0">
      <selection activeCell="B77" sqref="B77"/>
    </sheetView>
  </sheetViews>
  <sheetFormatPr defaultColWidth="9.125" defaultRowHeight="14.95" customHeight="1" outlineLevelRow="3" x14ac:dyDescent="0.2"/>
  <cols>
    <col min="1" max="1" width="65.75" customWidth="1"/>
    <col min="2" max="12" width="8.125" customWidth="1"/>
  </cols>
  <sheetData>
    <row r="1" spans="1:12" ht="14.95" customHeight="1" x14ac:dyDescent="0.25">
      <c r="A1" s="33" t="s">
        <v>64</v>
      </c>
    </row>
    <row r="2" spans="1:12" ht="14.95" customHeight="1" x14ac:dyDescent="0.2">
      <c r="A2" s="35" t="s">
        <v>65</v>
      </c>
    </row>
    <row r="3" spans="1:12" ht="14.95" customHeight="1" x14ac:dyDescent="0.2">
      <c r="A3" s="34"/>
      <c r="B3" s="34"/>
      <c r="C3" s="34"/>
      <c r="D3" s="34"/>
      <c r="E3" s="34"/>
      <c r="F3" s="34"/>
      <c r="G3" s="34"/>
      <c r="H3" s="34"/>
      <c r="I3" s="34"/>
      <c r="J3" s="34"/>
      <c r="K3" s="34"/>
      <c r="L3" s="34"/>
    </row>
    <row r="5" spans="1:12" ht="14.95" customHeight="1" x14ac:dyDescent="0.25">
      <c r="A5" s="1" t="s">
        <v>0</v>
      </c>
      <c r="B5" s="1"/>
      <c r="C5" s="1"/>
      <c r="D5" s="1"/>
      <c r="E5" s="1"/>
      <c r="F5" s="1"/>
      <c r="G5" s="1"/>
      <c r="H5" s="1"/>
      <c r="I5" s="1"/>
      <c r="J5" s="1"/>
      <c r="K5" s="1"/>
      <c r="L5" s="1"/>
    </row>
    <row r="6" spans="1:12" ht="14.95" customHeight="1" x14ac:dyDescent="0.25">
      <c r="A6" s="1" t="s">
        <v>1</v>
      </c>
      <c r="B6" s="1"/>
      <c r="C6" s="1"/>
      <c r="D6" s="1"/>
      <c r="E6" s="1"/>
      <c r="F6" s="1"/>
      <c r="G6" s="1"/>
      <c r="H6" s="1"/>
      <c r="I6" s="1"/>
      <c r="J6" s="1"/>
      <c r="K6" s="1"/>
      <c r="L6" s="1"/>
    </row>
    <row r="7" spans="1:12" ht="14.95" customHeight="1" x14ac:dyDescent="0.25">
      <c r="A7" s="1" t="s">
        <v>2</v>
      </c>
      <c r="B7" s="1"/>
      <c r="C7" s="1"/>
      <c r="D7" s="1"/>
      <c r="E7" s="1"/>
      <c r="F7" s="1"/>
      <c r="G7" s="1"/>
      <c r="H7" s="1"/>
      <c r="I7" s="1"/>
      <c r="J7" s="1"/>
      <c r="K7" s="1"/>
      <c r="L7" s="1"/>
    </row>
    <row r="8" spans="1:12" ht="14.95" customHeight="1" x14ac:dyDescent="0.25">
      <c r="A8" s="1"/>
      <c r="B8" s="1" t="s">
        <v>4</v>
      </c>
      <c r="C8" s="1" t="s">
        <v>5</v>
      </c>
      <c r="D8" s="1" t="s">
        <v>6</v>
      </c>
      <c r="E8" s="1" t="s">
        <v>7</v>
      </c>
      <c r="F8" s="1" t="s">
        <v>8</v>
      </c>
      <c r="G8" s="1" t="s">
        <v>9</v>
      </c>
      <c r="H8" s="1" t="s">
        <v>10</v>
      </c>
      <c r="I8" s="1" t="s">
        <v>11</v>
      </c>
      <c r="J8" s="1" t="s">
        <v>12</v>
      </c>
      <c r="K8" s="1" t="s">
        <v>13</v>
      </c>
      <c r="L8" s="1" t="s">
        <v>14</v>
      </c>
    </row>
    <row r="9" spans="1:12" ht="14.95" customHeight="1" x14ac:dyDescent="0.25">
      <c r="A9" s="1"/>
      <c r="B9" s="1"/>
      <c r="C9" s="1"/>
      <c r="D9" s="1"/>
      <c r="E9" s="1"/>
      <c r="F9" s="1"/>
      <c r="G9" s="1" t="s">
        <v>16</v>
      </c>
      <c r="H9" s="1"/>
      <c r="I9" s="1"/>
      <c r="J9" s="1"/>
      <c r="K9" s="1"/>
      <c r="L9" s="1"/>
    </row>
    <row r="10" spans="1:12" ht="14.95" customHeight="1" x14ac:dyDescent="0.2">
      <c r="A10" s="23" t="s">
        <v>159</v>
      </c>
      <c r="B10" s="23"/>
      <c r="C10" s="23"/>
      <c r="D10" s="23"/>
      <c r="E10" s="23"/>
      <c r="F10" s="23"/>
      <c r="G10" s="23"/>
      <c r="H10" s="23"/>
      <c r="I10" s="23"/>
      <c r="J10" s="23"/>
      <c r="K10" s="23"/>
      <c r="L10" s="23"/>
    </row>
    <row r="11" spans="1:12" ht="14.95" customHeight="1" x14ac:dyDescent="0.25">
      <c r="A11" s="2" t="s">
        <v>158</v>
      </c>
      <c r="B11" s="2"/>
      <c r="C11" s="2"/>
      <c r="D11" s="2"/>
      <c r="E11" s="2"/>
      <c r="F11" s="2"/>
      <c r="G11" s="2"/>
      <c r="H11" s="2"/>
      <c r="I11" s="2"/>
      <c r="J11" s="2"/>
      <c r="K11" s="2"/>
      <c r="L11" s="2"/>
    </row>
    <row r="12" spans="1:12" ht="14.95" customHeight="1" outlineLevel="1" x14ac:dyDescent="0.25">
      <c r="A12" s="21" t="s">
        <v>157</v>
      </c>
      <c r="B12" s="29">
        <v>958.06100000000004</v>
      </c>
      <c r="C12" s="29">
        <v>1470.5719999999999</v>
      </c>
      <c r="D12" s="29">
        <v>1977.9639999999999</v>
      </c>
      <c r="E12" s="29">
        <v>1055.8599999999999</v>
      </c>
      <c r="F12" s="29">
        <v>648.322</v>
      </c>
      <c r="G12" s="29">
        <v>816.59100000000001</v>
      </c>
      <c r="H12" s="29">
        <v>1047.838</v>
      </c>
      <c r="I12" s="29">
        <v>4055.7930000000001</v>
      </c>
      <c r="J12" s="29">
        <v>3028.9279999999999</v>
      </c>
      <c r="K12" s="29">
        <v>2866.4679999999998</v>
      </c>
      <c r="L12" s="29">
        <v>4682.9120000000003</v>
      </c>
    </row>
    <row r="13" spans="1:12" ht="14.95" customHeight="1" outlineLevel="2" x14ac:dyDescent="0.2">
      <c r="A13" s="9" t="s">
        <v>156</v>
      </c>
      <c r="B13" s="30">
        <v>642.08100000000002</v>
      </c>
      <c r="C13" s="30">
        <v>1016.027</v>
      </c>
      <c r="D13" s="30">
        <v>1977.9639999999999</v>
      </c>
      <c r="E13" s="30">
        <v>1055.8599999999999</v>
      </c>
      <c r="F13" s="30">
        <v>648.322</v>
      </c>
      <c r="G13" s="30">
        <v>816.59100000000001</v>
      </c>
      <c r="H13" s="30">
        <v>1047.838</v>
      </c>
      <c r="I13" s="30">
        <v>921.13199999999995</v>
      </c>
      <c r="J13" s="30">
        <v>884.35299999999995</v>
      </c>
      <c r="K13" s="30">
        <v>569.23299999999995</v>
      </c>
      <c r="L13" s="30">
        <v>392.089</v>
      </c>
    </row>
    <row r="14" spans="1:12" ht="14.95" customHeight="1" outlineLevel="2" x14ac:dyDescent="0.2">
      <c r="A14" s="10" t="s">
        <v>155</v>
      </c>
      <c r="B14" s="31">
        <v>315.98</v>
      </c>
      <c r="C14" s="31">
        <v>454.54500000000002</v>
      </c>
      <c r="D14" s="31">
        <v>0</v>
      </c>
      <c r="E14" s="31">
        <v>0</v>
      </c>
      <c r="F14" s="31">
        <v>0</v>
      </c>
      <c r="G14" s="31">
        <v>0</v>
      </c>
      <c r="H14" s="31">
        <v>0</v>
      </c>
      <c r="I14" s="31">
        <v>3134.6610000000001</v>
      </c>
      <c r="J14" s="31">
        <v>2144.5749999999998</v>
      </c>
      <c r="K14" s="31">
        <v>2297.2350000000001</v>
      </c>
      <c r="L14" s="31">
        <v>4290.8230000000003</v>
      </c>
    </row>
    <row r="15" spans="1:12" ht="14.95" customHeight="1" outlineLevel="1" x14ac:dyDescent="0.25">
      <c r="A15" s="8" t="s">
        <v>154</v>
      </c>
      <c r="B15" s="37">
        <v>1469.7339999999999</v>
      </c>
      <c r="C15" s="37">
        <v>1800.462</v>
      </c>
      <c r="D15" s="37">
        <v>1459.056</v>
      </c>
      <c r="E15" s="37">
        <v>737.53599999999994</v>
      </c>
      <c r="F15" s="37">
        <v>635.13599999999997</v>
      </c>
      <c r="G15" s="37">
        <v>639.71699999999998</v>
      </c>
      <c r="H15" s="37">
        <v>688.95299999999997</v>
      </c>
      <c r="I15" s="37">
        <v>477.60899999999998</v>
      </c>
      <c r="J15" s="37">
        <v>466.52699999999999</v>
      </c>
      <c r="K15" s="37">
        <v>396.60500000000002</v>
      </c>
      <c r="L15" s="37">
        <v>325.14400000000001</v>
      </c>
    </row>
    <row r="16" spans="1:12" ht="14.95" customHeight="1" outlineLevel="2" x14ac:dyDescent="0.25">
      <c r="A16" s="24" t="s">
        <v>153</v>
      </c>
      <c r="B16" s="29">
        <v>1469.7339999999999</v>
      </c>
      <c r="C16" s="29">
        <v>1800.462</v>
      </c>
      <c r="D16" s="29">
        <v>1459.056</v>
      </c>
      <c r="E16" s="29">
        <v>737.53599999999994</v>
      </c>
      <c r="F16" s="29">
        <v>635.13599999999997</v>
      </c>
      <c r="G16" s="29">
        <v>639.71699999999998</v>
      </c>
      <c r="H16" s="29">
        <v>688.95299999999997</v>
      </c>
      <c r="I16" s="29">
        <v>477.60899999999998</v>
      </c>
      <c r="J16" s="29">
        <v>466.52699999999999</v>
      </c>
      <c r="K16" s="29">
        <v>396.60500000000002</v>
      </c>
      <c r="L16" s="29">
        <v>325.14400000000001</v>
      </c>
    </row>
    <row r="17" spans="1:12" ht="14.95" customHeight="1" outlineLevel="3" x14ac:dyDescent="0.2">
      <c r="A17" s="13" t="s">
        <v>152</v>
      </c>
      <c r="B17" s="30">
        <v>1472.4970000000001</v>
      </c>
      <c r="C17" s="30">
        <v>1805.0329999999999</v>
      </c>
      <c r="D17" s="30">
        <v>1461.7139999999999</v>
      </c>
      <c r="E17" s="30">
        <v>741.88599999999997</v>
      </c>
      <c r="F17" s="30">
        <v>643.52300000000002</v>
      </c>
      <c r="G17" s="30">
        <v>642.00099999999998</v>
      </c>
      <c r="H17" s="30">
        <v>696.16600000000005</v>
      </c>
      <c r="I17" s="30">
        <v>482.726</v>
      </c>
      <c r="J17" s="30">
        <v>468.608</v>
      </c>
      <c r="K17" s="30">
        <v>399.524</v>
      </c>
      <c r="L17" s="30">
        <v>327.73700000000002</v>
      </c>
    </row>
    <row r="18" spans="1:12" ht="14.95" customHeight="1" outlineLevel="3" x14ac:dyDescent="0.2">
      <c r="A18" s="14" t="s">
        <v>151</v>
      </c>
      <c r="B18" s="38">
        <v>-2.7629999999999999</v>
      </c>
      <c r="C18" s="38">
        <v>-4.5709999999999997</v>
      </c>
      <c r="D18" s="38">
        <v>-2.6579999999999999</v>
      </c>
      <c r="E18" s="38">
        <v>-4.3499999999999996</v>
      </c>
      <c r="F18" s="38">
        <v>-8.3870000000000005</v>
      </c>
      <c r="G18" s="38">
        <v>-2.2839999999999998</v>
      </c>
      <c r="H18" s="38">
        <v>-7.2130000000000001</v>
      </c>
      <c r="I18" s="38">
        <v>-5.117</v>
      </c>
      <c r="J18" s="38">
        <v>-2.081</v>
      </c>
      <c r="K18" s="38">
        <v>-2.919</v>
      </c>
      <c r="L18" s="38">
        <v>-2.593</v>
      </c>
    </row>
    <row r="19" spans="1:12" ht="14.95" customHeight="1" outlineLevel="1" x14ac:dyDescent="0.25">
      <c r="A19" s="8" t="s">
        <v>150</v>
      </c>
      <c r="B19" s="37">
        <v>1642.2139999999999</v>
      </c>
      <c r="C19" s="37">
        <v>1399.914</v>
      </c>
      <c r="D19" s="37">
        <v>1200.6099999999999</v>
      </c>
      <c r="E19" s="37">
        <v>608.26</v>
      </c>
      <c r="F19" s="37">
        <v>609.88599999999997</v>
      </c>
      <c r="G19" s="37">
        <v>586.76</v>
      </c>
      <c r="H19" s="37">
        <v>550.81600000000003</v>
      </c>
      <c r="I19" s="37">
        <v>376.55500000000001</v>
      </c>
      <c r="J19" s="37">
        <v>412.31400000000002</v>
      </c>
      <c r="K19" s="37">
        <v>367.92700000000002</v>
      </c>
      <c r="L19" s="37">
        <v>283.33699999999999</v>
      </c>
    </row>
    <row r="20" spans="1:12" ht="14.95" customHeight="1" outlineLevel="2" x14ac:dyDescent="0.2">
      <c r="A20" s="10" t="s">
        <v>149</v>
      </c>
      <c r="B20" s="31">
        <v>388.25299999999999</v>
      </c>
      <c r="C20" s="31">
        <v>384.358</v>
      </c>
      <c r="D20" s="31">
        <v>270.34399999999999</v>
      </c>
      <c r="E20" s="31">
        <v>130.76400000000001</v>
      </c>
      <c r="F20" s="31">
        <v>174.03</v>
      </c>
      <c r="G20" s="31">
        <v>180.34100000000001</v>
      </c>
      <c r="H20" s="31">
        <v>138.904</v>
      </c>
      <c r="I20" s="31">
        <v>124.096</v>
      </c>
      <c r="J20" s="31">
        <v>128.96899999999999</v>
      </c>
      <c r="K20" s="31">
        <v>103.895</v>
      </c>
      <c r="L20" s="31">
        <v>88.540999999999997</v>
      </c>
    </row>
    <row r="21" spans="1:12" ht="14.95" customHeight="1" outlineLevel="2" x14ac:dyDescent="0.2">
      <c r="A21" s="9" t="s">
        <v>148</v>
      </c>
      <c r="B21" s="30">
        <v>1125.819</v>
      </c>
      <c r="C21" s="30">
        <v>904.64800000000002</v>
      </c>
      <c r="D21" s="30">
        <v>858.62699999999995</v>
      </c>
      <c r="E21" s="30">
        <v>443.69</v>
      </c>
      <c r="F21" s="30">
        <v>400.40899999999999</v>
      </c>
      <c r="G21" s="30">
        <v>375.90800000000002</v>
      </c>
      <c r="H21" s="30">
        <v>376.476</v>
      </c>
      <c r="I21" s="30">
        <v>232.196</v>
      </c>
      <c r="J21" s="30">
        <v>261.52</v>
      </c>
      <c r="K21" s="30">
        <v>216.76499999999999</v>
      </c>
      <c r="L21" s="30">
        <v>175.155</v>
      </c>
    </row>
    <row r="22" spans="1:12" ht="14.95" customHeight="1" outlineLevel="2" x14ac:dyDescent="0.2">
      <c r="A22" s="10" t="s">
        <v>147</v>
      </c>
      <c r="B22" s="31">
        <v>128.142</v>
      </c>
      <c r="C22" s="31">
        <v>110.908</v>
      </c>
      <c r="D22" s="31">
        <v>71.638999999999996</v>
      </c>
      <c r="E22" s="31">
        <v>33.805999999999997</v>
      </c>
      <c r="F22" s="31">
        <v>35.447000000000003</v>
      </c>
      <c r="G22" s="31">
        <v>30.510999999999999</v>
      </c>
      <c r="H22" s="31">
        <v>35.436</v>
      </c>
      <c r="I22" s="31">
        <v>20.263000000000002</v>
      </c>
      <c r="J22" s="31">
        <v>21.824999999999999</v>
      </c>
      <c r="K22" s="31">
        <v>47.267000000000003</v>
      </c>
      <c r="L22" s="31">
        <v>19.640999999999998</v>
      </c>
    </row>
    <row r="23" spans="1:12" ht="14.95" customHeight="1" outlineLevel="1" x14ac:dyDescent="0.25">
      <c r="A23" s="8" t="s">
        <v>146</v>
      </c>
      <c r="B23" s="37">
        <v>314.01299999999998</v>
      </c>
      <c r="C23" s="37">
        <v>267.04399999999998</v>
      </c>
      <c r="D23" s="37">
        <v>740.68700000000001</v>
      </c>
      <c r="E23" s="37">
        <v>116.032</v>
      </c>
      <c r="F23" s="37">
        <v>91.781999999999996</v>
      </c>
      <c r="G23" s="37">
        <v>69.058000000000007</v>
      </c>
      <c r="H23" s="37">
        <v>63.731000000000002</v>
      </c>
      <c r="I23" s="37">
        <v>64.906000000000006</v>
      </c>
      <c r="J23" s="37">
        <v>171.779</v>
      </c>
      <c r="K23" s="37">
        <v>180.886</v>
      </c>
      <c r="L23" s="37">
        <v>181.03200000000001</v>
      </c>
    </row>
    <row r="24" spans="1:12" ht="14.95" customHeight="1" outlineLevel="2" x14ac:dyDescent="0.2">
      <c r="A24" s="10" t="s">
        <v>145</v>
      </c>
      <c r="B24" s="23"/>
      <c r="C24" s="23"/>
      <c r="D24" s="23"/>
      <c r="E24" s="23"/>
      <c r="F24" s="23"/>
      <c r="G24" s="23"/>
      <c r="H24" s="31">
        <v>3.5219999999999998</v>
      </c>
      <c r="I24" s="31">
        <v>6.4050000000000002</v>
      </c>
      <c r="J24" s="31">
        <v>1.9410000000000001</v>
      </c>
      <c r="K24" s="31">
        <v>6.633</v>
      </c>
      <c r="L24" s="31">
        <v>2.391</v>
      </c>
    </row>
    <row r="25" spans="1:12" ht="14.95" customHeight="1" outlineLevel="2" x14ac:dyDescent="0.2">
      <c r="A25" s="9" t="s">
        <v>144</v>
      </c>
      <c r="B25" s="30">
        <v>314.01299999999998</v>
      </c>
      <c r="C25" s="30">
        <v>267.04399999999998</v>
      </c>
      <c r="D25" s="30">
        <v>740.68700000000001</v>
      </c>
      <c r="E25" s="30">
        <v>116.032</v>
      </c>
      <c r="F25" s="30">
        <v>91.781999999999996</v>
      </c>
      <c r="G25" s="30">
        <v>69.058000000000007</v>
      </c>
      <c r="H25" s="30">
        <v>60.209000000000003</v>
      </c>
      <c r="I25" s="30">
        <v>58.500999999999998</v>
      </c>
      <c r="J25" s="30">
        <v>169.83799999999999</v>
      </c>
      <c r="K25" s="30">
        <v>174.25299999999999</v>
      </c>
      <c r="L25" s="30">
        <v>178.64099999999999</v>
      </c>
    </row>
    <row r="26" spans="1:12" ht="14.95" customHeight="1" outlineLevel="1" x14ac:dyDescent="0.25">
      <c r="A26" s="21" t="s">
        <v>143</v>
      </c>
      <c r="B26" s="29">
        <v>4384.0219999999999</v>
      </c>
      <c r="C26" s="29">
        <v>4937.9920000000002</v>
      </c>
      <c r="D26" s="29">
        <v>5378.317</v>
      </c>
      <c r="E26" s="29">
        <v>2517.6880000000001</v>
      </c>
      <c r="F26" s="29">
        <v>1985.126</v>
      </c>
      <c r="G26" s="29">
        <v>2112.1260000000002</v>
      </c>
      <c r="H26" s="29">
        <v>2351.3380000000002</v>
      </c>
      <c r="I26" s="29">
        <v>4974.8630000000003</v>
      </c>
      <c r="J26" s="29">
        <v>4079.5479999999998</v>
      </c>
      <c r="K26" s="29">
        <v>3811.886</v>
      </c>
      <c r="L26" s="29">
        <v>5472.4250000000002</v>
      </c>
    </row>
    <row r="27" spans="1:12" ht="14.95" customHeight="1" outlineLevel="2" x14ac:dyDescent="0.2">
      <c r="A27" s="9" t="s">
        <v>18</v>
      </c>
      <c r="B27" s="19">
        <v>-11.218533000000001</v>
      </c>
      <c r="C27" s="19">
        <v>-8.1870360000000009</v>
      </c>
      <c r="D27" s="20">
        <v>113.621262</v>
      </c>
      <c r="E27" s="20">
        <v>26.827618000000001</v>
      </c>
      <c r="F27" s="19">
        <v>-6.012899</v>
      </c>
      <c r="G27" s="19">
        <v>-10.173438000000001</v>
      </c>
      <c r="H27" s="19">
        <v>-52.735621999999999</v>
      </c>
      <c r="I27" s="20">
        <v>21.946418999999999</v>
      </c>
      <c r="J27" s="20">
        <v>7.021776</v>
      </c>
      <c r="K27" s="19">
        <v>-30.343745999999999</v>
      </c>
      <c r="L27" s="20">
        <v>16.529157999999999</v>
      </c>
    </row>
    <row r="28" spans="1:12" ht="14.95" customHeight="1" outlineLevel="2" x14ac:dyDescent="0.2">
      <c r="A28" s="10" t="s">
        <v>142</v>
      </c>
      <c r="B28" s="7">
        <v>8.9846679999999992</v>
      </c>
      <c r="C28" s="7">
        <v>9.8166229999999999</v>
      </c>
      <c r="D28" s="7">
        <v>10.279251</v>
      </c>
      <c r="E28" s="7">
        <v>11.727302</v>
      </c>
      <c r="F28" s="7">
        <v>9.2794810000000005</v>
      </c>
      <c r="G28" s="7">
        <v>10.334123999999999</v>
      </c>
      <c r="H28" s="7">
        <v>11.122016</v>
      </c>
      <c r="I28" s="7">
        <v>62.417684999999999</v>
      </c>
      <c r="J28" s="7">
        <v>57.766145000000002</v>
      </c>
      <c r="K28" s="7">
        <v>55.569361999999998</v>
      </c>
      <c r="L28" s="7">
        <v>85.751165</v>
      </c>
    </row>
    <row r="29" spans="1:12" ht="14.95" customHeight="1" outlineLevel="1" x14ac:dyDescent="0.25">
      <c r="A29" s="8" t="s">
        <v>141</v>
      </c>
      <c r="B29" s="37">
        <v>3496.377</v>
      </c>
      <c r="C29" s="37">
        <v>2664.3009999999999</v>
      </c>
      <c r="D29" s="37">
        <v>2258.5929999999998</v>
      </c>
      <c r="E29" s="37">
        <v>1377.1859999999999</v>
      </c>
      <c r="F29" s="37">
        <v>1219.989</v>
      </c>
      <c r="G29" s="37">
        <v>1154.328</v>
      </c>
      <c r="H29" s="37">
        <v>1107.3040000000001</v>
      </c>
      <c r="I29" s="37">
        <v>636.11599999999999</v>
      </c>
      <c r="J29" s="37">
        <v>644.11</v>
      </c>
      <c r="K29" s="37">
        <v>622.42200000000003</v>
      </c>
      <c r="L29" s="37">
        <v>508.17099999999999</v>
      </c>
    </row>
    <row r="30" spans="1:12" ht="14.95" customHeight="1" outlineLevel="2" x14ac:dyDescent="0.25">
      <c r="A30" s="24" t="s">
        <v>140</v>
      </c>
      <c r="B30" s="29">
        <v>6921.152</v>
      </c>
      <c r="C30" s="29">
        <v>5812.5039999999999</v>
      </c>
      <c r="D30" s="29">
        <v>5214.8389999999999</v>
      </c>
      <c r="E30" s="29">
        <v>4142.2809999999999</v>
      </c>
      <c r="F30" s="29">
        <v>3811.2570000000001</v>
      </c>
      <c r="G30" s="29">
        <v>3527.8249999999998</v>
      </c>
      <c r="H30" s="29">
        <v>3304.4270000000001</v>
      </c>
      <c r="I30" s="29">
        <v>2676.8780000000002</v>
      </c>
      <c r="J30" s="29">
        <v>2602.0949999999998</v>
      </c>
      <c r="K30" s="29">
        <v>2478.348</v>
      </c>
      <c r="L30" s="29">
        <v>2292.8939999999998</v>
      </c>
    </row>
    <row r="31" spans="1:12" ht="14.95" customHeight="1" outlineLevel="3" x14ac:dyDescent="0.2">
      <c r="A31" s="13" t="s">
        <v>139</v>
      </c>
      <c r="B31" s="30">
        <v>1715.5719999999999</v>
      </c>
      <c r="C31" s="30">
        <v>1459.981</v>
      </c>
      <c r="D31" s="30">
        <v>1392.364</v>
      </c>
      <c r="E31" s="30">
        <v>974.60400000000004</v>
      </c>
      <c r="F31" s="30">
        <v>956.09900000000005</v>
      </c>
      <c r="G31" s="30">
        <v>873.18600000000004</v>
      </c>
      <c r="H31" s="30">
        <v>794.45600000000002</v>
      </c>
      <c r="I31" s="30">
        <v>564.32899999999995</v>
      </c>
      <c r="J31" s="30">
        <v>559.66</v>
      </c>
      <c r="K31" s="30">
        <v>495.738</v>
      </c>
      <c r="L31" s="30">
        <v>458.85300000000001</v>
      </c>
    </row>
    <row r="32" spans="1:12" ht="14.95" customHeight="1" outlineLevel="3" x14ac:dyDescent="0.2">
      <c r="A32" s="14" t="s">
        <v>138</v>
      </c>
      <c r="B32" s="31">
        <v>4377.9210000000003</v>
      </c>
      <c r="C32" s="31">
        <v>3817.8119999999999</v>
      </c>
      <c r="D32" s="31">
        <v>3210.8789999999999</v>
      </c>
      <c r="E32" s="31">
        <v>2667.846</v>
      </c>
      <c r="F32" s="31">
        <v>2609.4929999999999</v>
      </c>
      <c r="G32" s="31">
        <v>2478.0320000000002</v>
      </c>
      <c r="H32" s="31">
        <v>2368.2150000000001</v>
      </c>
      <c r="I32" s="31">
        <v>1994.115</v>
      </c>
      <c r="J32" s="31">
        <v>1932.7270000000001</v>
      </c>
      <c r="K32" s="31">
        <v>1880.3510000000001</v>
      </c>
      <c r="L32" s="31">
        <v>1733.85</v>
      </c>
    </row>
    <row r="33" spans="1:12" ht="14.95" customHeight="1" outlineLevel="3" x14ac:dyDescent="0.2">
      <c r="A33" s="13" t="s">
        <v>137</v>
      </c>
      <c r="B33" s="30">
        <v>550.43899999999996</v>
      </c>
      <c r="C33" s="30">
        <v>271.714</v>
      </c>
      <c r="D33" s="30">
        <v>332.05399999999997</v>
      </c>
      <c r="E33" s="30">
        <v>243.20599999999999</v>
      </c>
      <c r="F33" s="30">
        <v>245.66499999999999</v>
      </c>
      <c r="G33" s="30">
        <v>176.607</v>
      </c>
      <c r="H33" s="30">
        <v>141.756</v>
      </c>
      <c r="I33" s="30">
        <v>118.434</v>
      </c>
      <c r="J33" s="30">
        <v>109.708</v>
      </c>
      <c r="K33" s="30">
        <v>102.259</v>
      </c>
      <c r="L33" s="30">
        <v>100.191</v>
      </c>
    </row>
    <row r="34" spans="1:12" ht="14.95" customHeight="1" outlineLevel="3" x14ac:dyDescent="0.2">
      <c r="A34" s="14" t="s">
        <v>136</v>
      </c>
      <c r="B34" s="31">
        <v>277.22000000000003</v>
      </c>
      <c r="C34" s="31">
        <v>262.99700000000001</v>
      </c>
      <c r="D34" s="31">
        <v>279.54199999999997</v>
      </c>
      <c r="E34" s="31">
        <v>256.625</v>
      </c>
      <c r="F34" s="23"/>
      <c r="G34" s="23"/>
      <c r="H34" s="23"/>
      <c r="I34" s="23"/>
      <c r="J34" s="23"/>
      <c r="K34" s="23"/>
      <c r="L34" s="23"/>
    </row>
    <row r="35" spans="1:12" ht="14.95" customHeight="1" outlineLevel="2" x14ac:dyDescent="0.2">
      <c r="A35" s="9" t="s">
        <v>135</v>
      </c>
      <c r="B35" s="30">
        <v>3424.7750000000001</v>
      </c>
      <c r="C35" s="30">
        <v>3148.203</v>
      </c>
      <c r="D35" s="30">
        <v>2956.2460000000001</v>
      </c>
      <c r="E35" s="30">
        <v>2765.0949999999998</v>
      </c>
      <c r="F35" s="30">
        <v>2591.268</v>
      </c>
      <c r="G35" s="30">
        <v>2373.4969999999998</v>
      </c>
      <c r="H35" s="30">
        <v>2197.123</v>
      </c>
      <c r="I35" s="30">
        <v>2040.7619999999999</v>
      </c>
      <c r="J35" s="30">
        <v>1957.9849999999999</v>
      </c>
      <c r="K35" s="30">
        <v>1855.9259999999999</v>
      </c>
      <c r="L35" s="30">
        <v>1784.723</v>
      </c>
    </row>
    <row r="36" spans="1:12" ht="14.95" customHeight="1" outlineLevel="1" x14ac:dyDescent="0.25">
      <c r="A36" s="21" t="s">
        <v>134</v>
      </c>
      <c r="B36" s="29">
        <v>0</v>
      </c>
      <c r="C36" s="29">
        <v>122.285</v>
      </c>
      <c r="D36" s="29">
        <v>127.85599999999999</v>
      </c>
      <c r="E36" s="29">
        <v>86.728999999999999</v>
      </c>
      <c r="F36" s="29">
        <v>30.17</v>
      </c>
      <c r="G36" s="29">
        <v>28.73</v>
      </c>
      <c r="H36" s="29">
        <v>24.838000000000001</v>
      </c>
      <c r="I36" s="29">
        <v>21.937000000000001</v>
      </c>
      <c r="J36" s="29">
        <v>17.481999999999999</v>
      </c>
      <c r="K36" s="29">
        <v>13.397</v>
      </c>
      <c r="L36" s="29">
        <v>3.8159999999999998</v>
      </c>
    </row>
    <row r="37" spans="1:12" ht="14.95" customHeight="1" outlineLevel="2" x14ac:dyDescent="0.2">
      <c r="A37" s="9" t="s">
        <v>133</v>
      </c>
      <c r="B37" s="30">
        <v>0</v>
      </c>
      <c r="C37" s="30">
        <v>122.285</v>
      </c>
      <c r="D37" s="30">
        <v>127.85599999999999</v>
      </c>
      <c r="E37" s="30">
        <v>86.728999999999999</v>
      </c>
      <c r="F37" s="30">
        <v>30.17</v>
      </c>
      <c r="G37" s="30">
        <v>28.73</v>
      </c>
      <c r="H37" s="30">
        <v>24.838000000000001</v>
      </c>
      <c r="I37" s="30">
        <v>21.937000000000001</v>
      </c>
      <c r="J37" s="30">
        <v>17.481999999999999</v>
      </c>
      <c r="K37" s="30">
        <v>13.397</v>
      </c>
      <c r="L37" s="30">
        <v>3.8159999999999998</v>
      </c>
    </row>
    <row r="38" spans="1:12" ht="14.95" customHeight="1" outlineLevel="1" x14ac:dyDescent="0.25">
      <c r="A38" s="21" t="s">
        <v>132</v>
      </c>
      <c r="B38" s="29">
        <v>38225.091</v>
      </c>
      <c r="C38" s="29">
        <v>40178.54</v>
      </c>
      <c r="D38" s="29">
        <v>42185.64</v>
      </c>
      <c r="E38" s="29">
        <v>15928.705</v>
      </c>
      <c r="F38" s="29">
        <v>16474.103999999999</v>
      </c>
      <c r="G38" s="29">
        <v>17030.795999999998</v>
      </c>
      <c r="H38" s="29">
        <v>17536.88</v>
      </c>
      <c r="I38" s="29">
        <v>2228.4839999999999</v>
      </c>
      <c r="J38" s="29">
        <v>2220.0430000000001</v>
      </c>
      <c r="K38" s="29">
        <v>2313.84</v>
      </c>
      <c r="L38" s="29">
        <v>312.66399999999999</v>
      </c>
    </row>
    <row r="39" spans="1:12" ht="14.95" customHeight="1" outlineLevel="2" x14ac:dyDescent="0.2">
      <c r="A39" s="9" t="s">
        <v>131</v>
      </c>
      <c r="B39" s="30">
        <v>26913.133999999998</v>
      </c>
      <c r="C39" s="30">
        <v>26913.133999999998</v>
      </c>
      <c r="D39" s="30">
        <v>26918.47</v>
      </c>
      <c r="E39" s="30">
        <v>12278.424999999999</v>
      </c>
      <c r="F39" s="30">
        <v>12256.88</v>
      </c>
      <c r="G39" s="30">
        <v>12252.603999999999</v>
      </c>
      <c r="H39" s="30">
        <v>12217.455</v>
      </c>
      <c r="I39" s="30">
        <v>1679.116</v>
      </c>
      <c r="J39" s="30">
        <v>1636.5260000000001</v>
      </c>
      <c r="K39" s="30">
        <v>1642.4380000000001</v>
      </c>
      <c r="L39" s="30">
        <v>284.11200000000002</v>
      </c>
    </row>
    <row r="40" spans="1:12" ht="14.95" customHeight="1" outlineLevel="2" x14ac:dyDescent="0.2">
      <c r="A40" s="10" t="s">
        <v>130</v>
      </c>
      <c r="B40" s="31">
        <v>11311.957</v>
      </c>
      <c r="C40" s="31">
        <v>13265.406000000001</v>
      </c>
      <c r="D40" s="31">
        <v>15267.17</v>
      </c>
      <c r="E40" s="31">
        <v>3650.28</v>
      </c>
      <c r="F40" s="31">
        <v>4217.2240000000002</v>
      </c>
      <c r="G40" s="31">
        <v>4778.192</v>
      </c>
      <c r="H40" s="31">
        <v>5319.4250000000002</v>
      </c>
      <c r="I40" s="31">
        <v>549.36800000000005</v>
      </c>
      <c r="J40" s="31">
        <v>583.51700000000005</v>
      </c>
      <c r="K40" s="31">
        <v>671.40200000000004</v>
      </c>
      <c r="L40" s="31">
        <v>28.552</v>
      </c>
    </row>
    <row r="41" spans="1:12" ht="14.95" customHeight="1" outlineLevel="1" x14ac:dyDescent="0.2">
      <c r="A41" s="4" t="s">
        <v>129</v>
      </c>
      <c r="B41" s="30">
        <v>2223.2719999999999</v>
      </c>
      <c r="C41" s="30">
        <v>2264.8879999999999</v>
      </c>
      <c r="D41" s="30">
        <v>2267.2689999999998</v>
      </c>
      <c r="E41" s="30">
        <v>1503.0640000000001</v>
      </c>
      <c r="F41" s="30">
        <v>1582.3820000000001</v>
      </c>
      <c r="G41" s="30">
        <v>9.6649999999999991</v>
      </c>
      <c r="H41" s="30">
        <v>32.322000000000003</v>
      </c>
      <c r="I41" s="30">
        <v>36.005000000000003</v>
      </c>
      <c r="J41" s="30">
        <v>33.28</v>
      </c>
      <c r="K41" s="30">
        <v>27.248999999999999</v>
      </c>
      <c r="L41" s="30">
        <v>26.225999999999999</v>
      </c>
    </row>
    <row r="42" spans="1:12" ht="14.95" customHeight="1" outlineLevel="1" x14ac:dyDescent="0.25">
      <c r="A42" s="21" t="s">
        <v>128</v>
      </c>
      <c r="B42" s="29">
        <v>465.71600000000001</v>
      </c>
      <c r="C42" s="29">
        <v>134.34399999999999</v>
      </c>
      <c r="D42" s="29">
        <v>104.396</v>
      </c>
      <c r="E42" s="29">
        <v>55.231000000000002</v>
      </c>
      <c r="F42" s="29">
        <v>100.87</v>
      </c>
      <c r="G42" s="29">
        <v>102.721</v>
      </c>
      <c r="H42" s="29">
        <v>88.611999999999995</v>
      </c>
      <c r="I42" s="29">
        <v>72.873000000000005</v>
      </c>
      <c r="J42" s="29">
        <v>67.715000000000003</v>
      </c>
      <c r="K42" s="29">
        <v>70.896000000000001</v>
      </c>
      <c r="L42" s="29">
        <v>58.448</v>
      </c>
    </row>
    <row r="43" spans="1:12" ht="14.95" customHeight="1" outlineLevel="2" x14ac:dyDescent="0.2">
      <c r="A43" s="9" t="s">
        <v>127</v>
      </c>
      <c r="B43" s="30">
        <v>78.245999999999995</v>
      </c>
      <c r="C43" s="30">
        <v>63.210999999999999</v>
      </c>
      <c r="D43" s="30">
        <v>71.301000000000002</v>
      </c>
      <c r="E43" s="30">
        <v>52.956000000000003</v>
      </c>
      <c r="F43" s="30">
        <v>47.154000000000003</v>
      </c>
      <c r="G43" s="30">
        <v>39.853000000000002</v>
      </c>
      <c r="H43" s="30">
        <v>32.572000000000003</v>
      </c>
      <c r="I43" s="30">
        <v>26.152000000000001</v>
      </c>
      <c r="J43" s="30">
        <v>23.753</v>
      </c>
      <c r="K43" s="30">
        <v>21.11</v>
      </c>
      <c r="L43" s="30">
        <v>17.364000000000001</v>
      </c>
    </row>
    <row r="44" spans="1:12" ht="14.95" customHeight="1" outlineLevel="2" x14ac:dyDescent="0.2">
      <c r="A44" s="10" t="s">
        <v>126</v>
      </c>
      <c r="B44" s="31">
        <v>387.47</v>
      </c>
      <c r="C44" s="31">
        <v>71.132999999999996</v>
      </c>
      <c r="D44" s="31">
        <v>33.094999999999999</v>
      </c>
      <c r="E44" s="31">
        <v>2.2749999999999999</v>
      </c>
      <c r="F44" s="31">
        <v>53.716000000000001</v>
      </c>
      <c r="G44" s="31">
        <v>62.868000000000002</v>
      </c>
      <c r="H44" s="31">
        <v>56.04</v>
      </c>
      <c r="I44" s="31">
        <v>46.720999999999997</v>
      </c>
      <c r="J44" s="31">
        <v>43.962000000000003</v>
      </c>
      <c r="K44" s="31">
        <v>49.786000000000001</v>
      </c>
      <c r="L44" s="31">
        <v>41.084000000000003</v>
      </c>
    </row>
    <row r="45" spans="1:12" ht="14.95" customHeight="1" outlineLevel="1" x14ac:dyDescent="0.25">
      <c r="A45" s="8" t="s">
        <v>125</v>
      </c>
      <c r="B45" s="37">
        <v>48794.478000000003</v>
      </c>
      <c r="C45" s="37">
        <v>50302.35</v>
      </c>
      <c r="D45" s="37">
        <v>52322.071000000004</v>
      </c>
      <c r="E45" s="37">
        <v>21468.602999999999</v>
      </c>
      <c r="F45" s="37">
        <v>21392.641</v>
      </c>
      <c r="G45" s="37">
        <v>20438.366000000002</v>
      </c>
      <c r="H45" s="37">
        <v>21141.294000000002</v>
      </c>
      <c r="I45" s="37">
        <v>7970.2780000000002</v>
      </c>
      <c r="J45" s="37">
        <v>7062.1779999999999</v>
      </c>
      <c r="K45" s="37">
        <v>6859.69</v>
      </c>
      <c r="L45" s="37">
        <v>6381.75</v>
      </c>
    </row>
    <row r="46" spans="1:12" ht="14.95" customHeight="1" outlineLevel="2" x14ac:dyDescent="0.2">
      <c r="A46" s="10" t="s">
        <v>18</v>
      </c>
      <c r="B46" s="6">
        <v>-2.9976229999999999</v>
      </c>
      <c r="C46" s="6">
        <v>-3.860166</v>
      </c>
      <c r="D46" s="7">
        <v>143.714371</v>
      </c>
      <c r="E46" s="7">
        <v>0.35508899999999999</v>
      </c>
      <c r="F46" s="7">
        <v>4.6690399999999999</v>
      </c>
      <c r="G46" s="6">
        <v>-3.324913</v>
      </c>
      <c r="H46" s="7">
        <v>165.251678</v>
      </c>
      <c r="I46" s="7">
        <v>12.858634</v>
      </c>
      <c r="J46" s="7">
        <v>2.9518580000000001</v>
      </c>
      <c r="K46" s="7">
        <v>7.4891670000000001</v>
      </c>
      <c r="L46" s="7">
        <v>13.547256000000001</v>
      </c>
    </row>
    <row r="47" spans="1:12" ht="14.95" customHeight="1" x14ac:dyDescent="0.25">
      <c r="A47" s="2" t="s">
        <v>124</v>
      </c>
      <c r="B47" s="2"/>
      <c r="C47" s="2"/>
      <c r="D47" s="2"/>
      <c r="E47" s="2"/>
      <c r="F47" s="2"/>
      <c r="G47" s="2"/>
      <c r="H47" s="2"/>
      <c r="I47" s="2"/>
      <c r="J47" s="2"/>
      <c r="K47" s="2"/>
      <c r="L47" s="2"/>
    </row>
    <row r="48" spans="1:12" ht="14.95" customHeight="1" outlineLevel="1" x14ac:dyDescent="0.25">
      <c r="A48" s="21" t="s">
        <v>123</v>
      </c>
      <c r="B48" s="16"/>
      <c r="C48" s="16"/>
      <c r="D48" s="16"/>
      <c r="E48" s="16"/>
      <c r="F48" s="16"/>
      <c r="G48" s="16"/>
      <c r="H48" s="16"/>
      <c r="I48" s="16"/>
      <c r="J48" s="16"/>
      <c r="K48" s="16"/>
      <c r="L48" s="16"/>
    </row>
    <row r="49" spans="1:12" ht="14.95" customHeight="1" outlineLevel="2" x14ac:dyDescent="0.2">
      <c r="A49" s="9" t="s">
        <v>122</v>
      </c>
      <c r="B49" s="15">
        <v>1111.021</v>
      </c>
      <c r="C49" s="15">
        <v>53.628</v>
      </c>
      <c r="D49" s="15">
        <v>569.23900000000003</v>
      </c>
      <c r="E49" s="15">
        <v>39.923000000000002</v>
      </c>
      <c r="F49" s="15">
        <v>299.66699999999997</v>
      </c>
      <c r="G49" s="15">
        <v>67</v>
      </c>
      <c r="H49" s="15">
        <v>300</v>
      </c>
      <c r="I49" s="15">
        <v>0</v>
      </c>
      <c r="J49" s="15">
        <v>374.839</v>
      </c>
      <c r="K49" s="15">
        <v>0</v>
      </c>
      <c r="L49" s="15">
        <v>0</v>
      </c>
    </row>
    <row r="50" spans="1:12" ht="14.95" customHeight="1" outlineLevel="2" x14ac:dyDescent="0.2">
      <c r="A50" s="10" t="s">
        <v>121</v>
      </c>
      <c r="B50" s="11">
        <v>493.041</v>
      </c>
      <c r="C50" s="11">
        <v>582.16</v>
      </c>
      <c r="D50" s="11">
        <v>443.43400000000003</v>
      </c>
      <c r="E50" s="11">
        <v>227.273</v>
      </c>
      <c r="F50" s="11">
        <v>225.27</v>
      </c>
      <c r="G50" s="11">
        <v>260.91899999999998</v>
      </c>
      <c r="H50" s="11">
        <v>236.62899999999999</v>
      </c>
      <c r="I50" s="11">
        <v>171.43899999999999</v>
      </c>
      <c r="J50" s="11">
        <v>174.24700000000001</v>
      </c>
      <c r="K50" s="11">
        <v>138.96700000000001</v>
      </c>
      <c r="L50" s="11">
        <v>119.994</v>
      </c>
    </row>
    <row r="51" spans="1:12" ht="14.95" customHeight="1" outlineLevel="2" x14ac:dyDescent="0.2">
      <c r="A51" s="9" t="s">
        <v>120</v>
      </c>
      <c r="B51" s="15">
        <v>345.69499999999999</v>
      </c>
      <c r="C51" s="15">
        <v>288.66000000000003</v>
      </c>
      <c r="D51" s="15">
        <v>332.685</v>
      </c>
      <c r="E51" s="15">
        <v>182.08</v>
      </c>
      <c r="F51" s="15">
        <v>187.87899999999999</v>
      </c>
      <c r="G51" s="15">
        <v>93.721999999999994</v>
      </c>
      <c r="H51" s="15">
        <v>86.905000000000001</v>
      </c>
      <c r="I51" s="15">
        <v>4.0999999999999996</v>
      </c>
      <c r="J51" s="15">
        <v>15.061999999999999</v>
      </c>
      <c r="K51" s="15">
        <v>62.77</v>
      </c>
      <c r="L51" s="15">
        <v>45.49</v>
      </c>
    </row>
    <row r="52" spans="1:12" ht="14.95" customHeight="1" outlineLevel="2" x14ac:dyDescent="0.25">
      <c r="A52" s="24" t="s">
        <v>119</v>
      </c>
      <c r="B52" s="17">
        <v>1251.2139999999999</v>
      </c>
      <c r="C52" s="17">
        <v>1518.2070000000001</v>
      </c>
      <c r="D52" s="17">
        <v>1424.954</v>
      </c>
      <c r="E52" s="17">
        <v>915.71</v>
      </c>
      <c r="F52" s="17">
        <v>795.81600000000003</v>
      </c>
      <c r="G52" s="17">
        <v>630.10699999999997</v>
      </c>
      <c r="H52" s="17">
        <v>972.798</v>
      </c>
      <c r="I52" s="17">
        <v>607.39499999999998</v>
      </c>
      <c r="J52" s="17">
        <v>549.68200000000002</v>
      </c>
      <c r="K52" s="17">
        <v>507.31900000000002</v>
      </c>
      <c r="L52" s="17">
        <v>405.02800000000002</v>
      </c>
    </row>
    <row r="53" spans="1:12" ht="14.95" customHeight="1" outlineLevel="3" x14ac:dyDescent="0.2">
      <c r="A53" s="13" t="s">
        <v>118</v>
      </c>
      <c r="B53" s="15">
        <v>308.00099999999998</v>
      </c>
      <c r="C53" s="15">
        <v>465.536</v>
      </c>
      <c r="D53" s="15">
        <v>381.678</v>
      </c>
      <c r="E53" s="15">
        <v>163.75200000000001</v>
      </c>
      <c r="F53" s="15">
        <v>168.471</v>
      </c>
      <c r="G53" s="15">
        <v>254.93199999999999</v>
      </c>
      <c r="H53" s="15">
        <v>271.32100000000003</v>
      </c>
      <c r="I53" s="15">
        <v>112.003</v>
      </c>
      <c r="J53" s="15">
        <v>125.5</v>
      </c>
      <c r="K53" s="15">
        <v>101.307</v>
      </c>
      <c r="L53" s="15">
        <v>71.093999999999994</v>
      </c>
    </row>
    <row r="54" spans="1:12" ht="14.95" customHeight="1" outlineLevel="3" x14ac:dyDescent="0.2">
      <c r="A54" s="14" t="s">
        <v>117</v>
      </c>
      <c r="B54" s="11">
        <v>943.21299999999997</v>
      </c>
      <c r="C54" s="11">
        <v>1052.671</v>
      </c>
      <c r="D54" s="11">
        <v>1043.2760000000001</v>
      </c>
      <c r="E54" s="11">
        <v>751.95799999999997</v>
      </c>
      <c r="F54" s="11">
        <v>627.34500000000003</v>
      </c>
      <c r="G54" s="11">
        <v>375.17500000000001</v>
      </c>
      <c r="H54" s="11">
        <v>701.47699999999998</v>
      </c>
      <c r="I54" s="11">
        <v>495.392</v>
      </c>
      <c r="J54" s="11">
        <v>424.18200000000002</v>
      </c>
      <c r="K54" s="11">
        <v>406.012</v>
      </c>
      <c r="L54" s="11">
        <v>333.93400000000003</v>
      </c>
    </row>
    <row r="55" spans="1:12" ht="14.95" customHeight="1" outlineLevel="2" x14ac:dyDescent="0.25">
      <c r="A55" s="12" t="s">
        <v>116</v>
      </c>
      <c r="B55" s="3">
        <v>3200.971</v>
      </c>
      <c r="C55" s="3">
        <v>2442.6550000000002</v>
      </c>
      <c r="D55" s="3">
        <v>2770.3119999999999</v>
      </c>
      <c r="E55" s="3">
        <v>1364.9860000000001</v>
      </c>
      <c r="F55" s="3">
        <v>1508.6320000000001</v>
      </c>
      <c r="G55" s="3">
        <v>1051.748</v>
      </c>
      <c r="H55" s="3">
        <v>1596.3320000000001</v>
      </c>
      <c r="I55" s="3">
        <v>782.93399999999997</v>
      </c>
      <c r="J55" s="3">
        <v>1113.83</v>
      </c>
      <c r="K55" s="3">
        <v>709.05600000000004</v>
      </c>
      <c r="L55" s="3">
        <v>570.51199999999994</v>
      </c>
    </row>
    <row r="56" spans="1:12" ht="14.95" customHeight="1" outlineLevel="3" x14ac:dyDescent="0.2">
      <c r="A56" s="14" t="s">
        <v>18</v>
      </c>
      <c r="B56" s="7">
        <v>31.044740999999998</v>
      </c>
      <c r="C56" s="6">
        <v>-11.827439999999999</v>
      </c>
      <c r="D56" s="7">
        <v>102.955353</v>
      </c>
      <c r="E56" s="6">
        <v>-9.5216060000000002</v>
      </c>
      <c r="F56" s="7">
        <v>43.440434000000003</v>
      </c>
      <c r="G56" s="6">
        <v>-34.114708</v>
      </c>
      <c r="H56" s="7">
        <v>103.891014</v>
      </c>
      <c r="I56" s="6">
        <v>-29.707939</v>
      </c>
      <c r="J56" s="7">
        <v>57.086308000000002</v>
      </c>
      <c r="K56" s="7">
        <v>24.284151000000001</v>
      </c>
      <c r="L56" s="7">
        <v>8.6526119999999995</v>
      </c>
    </row>
    <row r="57" spans="1:12" ht="14.95" customHeight="1" outlineLevel="3" x14ac:dyDescent="0.2">
      <c r="A57" s="13" t="s">
        <v>115</v>
      </c>
      <c r="B57" s="20">
        <v>6.5601089999999997</v>
      </c>
      <c r="C57" s="20">
        <v>4.8559460000000003</v>
      </c>
      <c r="D57" s="20">
        <v>5.2947290000000002</v>
      </c>
      <c r="E57" s="20">
        <v>6.3580569999999996</v>
      </c>
      <c r="F57" s="20">
        <v>7.0521070000000003</v>
      </c>
      <c r="G57" s="20">
        <v>5.14595</v>
      </c>
      <c r="H57" s="20">
        <v>7.5507770000000001</v>
      </c>
      <c r="I57" s="20">
        <v>9.8231710000000003</v>
      </c>
      <c r="J57" s="20">
        <v>15.771763</v>
      </c>
      <c r="K57" s="20">
        <v>10.33656</v>
      </c>
      <c r="L57" s="20">
        <v>8.9397420000000007</v>
      </c>
    </row>
    <row r="58" spans="1:12" ht="14.95" customHeight="1" outlineLevel="1" x14ac:dyDescent="0.25">
      <c r="A58" s="21" t="s">
        <v>114</v>
      </c>
      <c r="B58" s="16"/>
      <c r="C58" s="16"/>
      <c r="D58" s="16"/>
      <c r="E58" s="16"/>
      <c r="F58" s="16"/>
      <c r="G58" s="16"/>
      <c r="H58" s="16"/>
      <c r="I58" s="16"/>
      <c r="J58" s="16"/>
      <c r="K58" s="16"/>
      <c r="L58" s="16"/>
    </row>
    <row r="59" spans="1:12" ht="14.95" customHeight="1" outlineLevel="2" x14ac:dyDescent="0.25">
      <c r="A59" s="12" t="s">
        <v>113</v>
      </c>
      <c r="B59" s="37">
        <v>6262.9170000000004</v>
      </c>
      <c r="C59" s="37">
        <v>6885.9040000000005</v>
      </c>
      <c r="D59" s="37">
        <v>6548.9939999999997</v>
      </c>
      <c r="E59" s="37">
        <v>5433.5940000000001</v>
      </c>
      <c r="F59" s="37">
        <v>5192.2520000000004</v>
      </c>
      <c r="G59" s="37">
        <v>6265.674</v>
      </c>
      <c r="H59" s="37">
        <v>7551.0839999999998</v>
      </c>
      <c r="I59" s="37">
        <v>1732.1769999999999</v>
      </c>
      <c r="J59" s="37">
        <v>498.49700000000001</v>
      </c>
      <c r="K59" s="37">
        <v>872.78899999999999</v>
      </c>
      <c r="L59" s="37">
        <v>872.24099999999999</v>
      </c>
    </row>
    <row r="60" spans="1:12" ht="14.95" customHeight="1" outlineLevel="3" x14ac:dyDescent="0.2">
      <c r="A60" s="14" t="s">
        <v>112</v>
      </c>
      <c r="B60" s="31">
        <v>5902.4570000000003</v>
      </c>
      <c r="C60" s="31">
        <v>6548.625</v>
      </c>
      <c r="D60" s="31">
        <v>6253.2120000000004</v>
      </c>
      <c r="E60" s="31">
        <v>5145.1019999999999</v>
      </c>
      <c r="F60" s="31">
        <v>5192.2520000000004</v>
      </c>
      <c r="G60" s="31">
        <v>6265.674</v>
      </c>
      <c r="H60" s="31">
        <v>7551.0839999999998</v>
      </c>
      <c r="I60" s="31">
        <v>1732.1769999999999</v>
      </c>
      <c r="J60" s="31">
        <v>498.49700000000001</v>
      </c>
      <c r="K60" s="31">
        <v>872.78899999999999</v>
      </c>
      <c r="L60" s="31">
        <v>872.24099999999999</v>
      </c>
    </row>
    <row r="61" spans="1:12" ht="14.95" customHeight="1" outlineLevel="3" x14ac:dyDescent="0.2">
      <c r="A61" s="13" t="s">
        <v>111</v>
      </c>
      <c r="B61" s="30">
        <v>360.46</v>
      </c>
      <c r="C61" s="30">
        <v>337.279</v>
      </c>
      <c r="D61" s="30">
        <v>295.78199999999998</v>
      </c>
      <c r="E61" s="30">
        <v>288.49200000000002</v>
      </c>
      <c r="F61" s="30">
        <v>0</v>
      </c>
      <c r="G61" s="30">
        <v>0</v>
      </c>
      <c r="H61" s="30">
        <v>0</v>
      </c>
      <c r="I61" s="30">
        <v>0</v>
      </c>
      <c r="J61" s="30">
        <v>0</v>
      </c>
      <c r="K61" s="30">
        <v>0</v>
      </c>
      <c r="L61" s="30">
        <v>0</v>
      </c>
    </row>
    <row r="62" spans="1:12" ht="14.95" customHeight="1" outlineLevel="2" x14ac:dyDescent="0.2">
      <c r="A62" s="10" t="s">
        <v>110</v>
      </c>
      <c r="B62" s="31">
        <v>0</v>
      </c>
      <c r="C62" s="31">
        <v>0</v>
      </c>
      <c r="D62" s="31">
        <v>0</v>
      </c>
      <c r="E62" s="31">
        <v>0</v>
      </c>
      <c r="F62" s="31">
        <v>47.154000000000003</v>
      </c>
      <c r="G62" s="31">
        <v>39.845999999999997</v>
      </c>
      <c r="H62" s="31">
        <v>82.171999999999997</v>
      </c>
      <c r="I62" s="31">
        <v>107.852</v>
      </c>
      <c r="J62" s="31">
        <v>104.753</v>
      </c>
      <c r="K62" s="31">
        <v>91.71</v>
      </c>
      <c r="L62" s="31">
        <v>88.664000000000001</v>
      </c>
    </row>
    <row r="63" spans="1:12" ht="14.95" customHeight="1" outlineLevel="2" x14ac:dyDescent="0.2">
      <c r="A63" s="9" t="s">
        <v>109</v>
      </c>
      <c r="B63" s="30">
        <v>3127.8519999999999</v>
      </c>
      <c r="C63" s="30">
        <v>3622.538</v>
      </c>
      <c r="D63" s="30">
        <v>3938.83</v>
      </c>
      <c r="E63" s="30">
        <v>1919.595</v>
      </c>
      <c r="F63" s="30">
        <v>2088.212</v>
      </c>
      <c r="G63" s="30">
        <v>990.40899999999999</v>
      </c>
      <c r="H63" s="30">
        <v>1674.683</v>
      </c>
      <c r="I63" s="30">
        <v>109.931</v>
      </c>
      <c r="J63" s="30">
        <v>227.376</v>
      </c>
      <c r="K63" s="30">
        <v>235.791</v>
      </c>
      <c r="L63" s="30">
        <v>6.0369999999999999</v>
      </c>
    </row>
    <row r="64" spans="1:12" ht="14.95" customHeight="1" outlineLevel="2" x14ac:dyDescent="0.25">
      <c r="A64" s="24" t="s">
        <v>108</v>
      </c>
      <c r="B64" s="29">
        <v>637.61599999999999</v>
      </c>
      <c r="C64" s="29">
        <v>885.93</v>
      </c>
      <c r="D64" s="29">
        <v>1071.393</v>
      </c>
      <c r="E64" s="29">
        <v>752.48299999999995</v>
      </c>
      <c r="F64" s="29">
        <v>847.20299999999997</v>
      </c>
      <c r="G64" s="29">
        <v>822.51599999999996</v>
      </c>
      <c r="H64" s="29">
        <v>75.483000000000004</v>
      </c>
      <c r="I64" s="29">
        <v>71.766000000000005</v>
      </c>
      <c r="J64" s="29">
        <v>44.762999999999998</v>
      </c>
      <c r="K64" s="29">
        <v>192.447</v>
      </c>
      <c r="L64" s="29">
        <v>104.72</v>
      </c>
    </row>
    <row r="65" spans="1:12" ht="14.95" customHeight="1" outlineLevel="3" x14ac:dyDescent="0.2">
      <c r="A65" s="13" t="s">
        <v>107</v>
      </c>
      <c r="B65" s="30">
        <v>637.61599999999999</v>
      </c>
      <c r="C65" s="30">
        <v>885.93</v>
      </c>
      <c r="D65" s="30">
        <v>1071.393</v>
      </c>
      <c r="E65" s="30">
        <v>752.48299999999995</v>
      </c>
      <c r="F65" s="30">
        <v>847.20299999999997</v>
      </c>
      <c r="G65" s="30">
        <v>822.51599999999996</v>
      </c>
      <c r="H65" s="30">
        <v>75.483000000000004</v>
      </c>
      <c r="I65" s="30">
        <v>71.766000000000005</v>
      </c>
      <c r="J65" s="30">
        <v>44.762999999999998</v>
      </c>
      <c r="K65" s="30">
        <v>192.447</v>
      </c>
      <c r="L65" s="30">
        <v>104.72</v>
      </c>
    </row>
    <row r="66" spans="1:12" ht="14.95" customHeight="1" outlineLevel="2" x14ac:dyDescent="0.25">
      <c r="A66" s="24" t="s">
        <v>106</v>
      </c>
      <c r="B66" s="29">
        <v>13229.356</v>
      </c>
      <c r="C66" s="29">
        <v>13837.027</v>
      </c>
      <c r="D66" s="29">
        <v>14329.529</v>
      </c>
      <c r="E66" s="29">
        <v>9470.6579999999994</v>
      </c>
      <c r="F66" s="29">
        <v>9683.4529999999995</v>
      </c>
      <c r="G66" s="29">
        <v>9170.1929999999993</v>
      </c>
      <c r="H66" s="29">
        <v>10979.754000000001</v>
      </c>
      <c r="I66" s="29">
        <v>2804.66</v>
      </c>
      <c r="J66" s="29">
        <v>1989.2190000000001</v>
      </c>
      <c r="K66" s="29">
        <v>2101.7930000000001</v>
      </c>
      <c r="L66" s="29">
        <v>1642.174</v>
      </c>
    </row>
    <row r="67" spans="1:12" ht="14.95" customHeight="1" outlineLevel="3" x14ac:dyDescent="0.2">
      <c r="A67" s="13" t="s">
        <v>18</v>
      </c>
      <c r="B67" s="19">
        <v>-4.391629</v>
      </c>
      <c r="C67" s="19">
        <v>-3.4369719999999999</v>
      </c>
      <c r="D67" s="20">
        <v>51.304473999999999</v>
      </c>
      <c r="E67" s="19">
        <v>-2.197511</v>
      </c>
      <c r="F67" s="20">
        <v>5.5970440000000004</v>
      </c>
      <c r="G67" s="19">
        <v>-16.480885000000001</v>
      </c>
      <c r="H67" s="20">
        <v>291.48254400000002</v>
      </c>
      <c r="I67" s="20">
        <v>40.993018999999997</v>
      </c>
      <c r="J67" s="19">
        <v>-5.3560920000000003</v>
      </c>
      <c r="K67" s="20">
        <v>27.988448999999999</v>
      </c>
      <c r="L67" s="20">
        <v>12.865118000000001</v>
      </c>
    </row>
    <row r="68" spans="1:12" ht="14.95" customHeight="1" outlineLevel="3" x14ac:dyDescent="0.2">
      <c r="A68" s="14" t="s">
        <v>105</v>
      </c>
      <c r="B68" s="7">
        <v>27.112404000000002</v>
      </c>
      <c r="C68" s="7">
        <v>27.507715000000001</v>
      </c>
      <c r="D68" s="7">
        <v>27.387159</v>
      </c>
      <c r="E68" s="7">
        <v>44.113993000000001</v>
      </c>
      <c r="F68" s="7">
        <v>45.265346000000001</v>
      </c>
      <c r="G68" s="7">
        <v>44.867545</v>
      </c>
      <c r="H68" s="7">
        <v>51.935108999999997</v>
      </c>
      <c r="I68" s="7">
        <v>35.188986</v>
      </c>
      <c r="J68" s="7">
        <v>28.167217000000001</v>
      </c>
      <c r="K68" s="7">
        <v>30.639766999999999</v>
      </c>
      <c r="L68" s="7">
        <v>25.732346</v>
      </c>
    </row>
    <row r="69" spans="1:12" ht="14.95" customHeight="1" outlineLevel="1" x14ac:dyDescent="0.25">
      <c r="A69" s="8" t="s">
        <v>104</v>
      </c>
      <c r="B69" s="2"/>
      <c r="C69" s="2"/>
      <c r="D69" s="2"/>
      <c r="E69" s="2"/>
      <c r="F69" s="2"/>
      <c r="G69" s="2"/>
      <c r="H69" s="2"/>
      <c r="I69" s="2"/>
      <c r="J69" s="2"/>
      <c r="K69" s="2"/>
      <c r="L69" s="2"/>
    </row>
    <row r="70" spans="1:12" ht="14.95" customHeight="1" outlineLevel="2" x14ac:dyDescent="0.25">
      <c r="A70" s="24" t="s">
        <v>103</v>
      </c>
      <c r="B70" s="29">
        <v>35565.122000000003</v>
      </c>
      <c r="C70" s="29">
        <v>36465.322999999997</v>
      </c>
      <c r="D70" s="29">
        <v>37992.542000000001</v>
      </c>
      <c r="E70" s="29">
        <v>11997.945</v>
      </c>
      <c r="F70" s="29">
        <v>11709.188</v>
      </c>
      <c r="G70" s="29">
        <v>11268.173000000001</v>
      </c>
      <c r="H70" s="29">
        <v>10161.540000000001</v>
      </c>
      <c r="I70" s="29">
        <v>5165.6180000000004</v>
      </c>
      <c r="J70" s="29">
        <v>5072.9589999999998</v>
      </c>
      <c r="K70" s="29">
        <v>4757.8969999999999</v>
      </c>
      <c r="L70" s="29">
        <v>4739.576</v>
      </c>
    </row>
    <row r="71" spans="1:12" ht="14.95" customHeight="1" outlineLevel="3" x14ac:dyDescent="0.2">
      <c r="A71" s="13" t="s">
        <v>102</v>
      </c>
      <c r="B71" s="30">
        <v>82.712000000000003</v>
      </c>
      <c r="C71" s="30">
        <v>84.88</v>
      </c>
      <c r="D71" s="30">
        <v>87.554000000000002</v>
      </c>
      <c r="E71" s="30">
        <v>61.582000000000001</v>
      </c>
      <c r="F71" s="30">
        <v>61.384999999999998</v>
      </c>
      <c r="G71" s="30">
        <v>61.694000000000003</v>
      </c>
      <c r="H71" s="30">
        <v>61.441000000000003</v>
      </c>
      <c r="I71" s="30">
        <v>51.363</v>
      </c>
      <c r="J71" s="30">
        <v>52.011000000000003</v>
      </c>
      <c r="K71" s="30">
        <v>51.869</v>
      </c>
      <c r="L71" s="30">
        <v>51.841999999999999</v>
      </c>
    </row>
    <row r="72" spans="1:12" ht="14.95" customHeight="1" outlineLevel="3" x14ac:dyDescent="0.2">
      <c r="A72" s="14" t="s">
        <v>101</v>
      </c>
      <c r="B72" s="31">
        <v>25313.914000000001</v>
      </c>
      <c r="C72" s="31">
        <v>27857.27</v>
      </c>
      <c r="D72" s="31">
        <v>30574.237000000001</v>
      </c>
      <c r="E72" s="31">
        <v>4949.5860000000002</v>
      </c>
      <c r="F72" s="31">
        <v>4936.3490000000002</v>
      </c>
      <c r="G72" s="31">
        <v>5282.2219999999998</v>
      </c>
      <c r="H72" s="31">
        <v>5250.5190000000002</v>
      </c>
      <c r="I72" s="31">
        <v>402.27</v>
      </c>
      <c r="J72" s="31">
        <v>634.48400000000004</v>
      </c>
      <c r="K72" s="31">
        <v>643.05799999999999</v>
      </c>
      <c r="L72" s="31">
        <v>711.87900000000002</v>
      </c>
    </row>
    <row r="73" spans="1:12" ht="14.95" customHeight="1" outlineLevel="3" x14ac:dyDescent="0.2">
      <c r="A73" s="13" t="s">
        <v>100</v>
      </c>
      <c r="B73" s="30">
        <v>10356.798000000001</v>
      </c>
      <c r="C73" s="30">
        <v>8721.3250000000007</v>
      </c>
      <c r="D73" s="30">
        <v>7517.3159999999998</v>
      </c>
      <c r="E73" s="30">
        <v>7236.2380000000003</v>
      </c>
      <c r="F73" s="30">
        <v>6899.2529999999997</v>
      </c>
      <c r="G73" s="30">
        <v>5982.6970000000001</v>
      </c>
      <c r="H73" s="30">
        <v>4910.9390000000003</v>
      </c>
      <c r="I73" s="30">
        <v>4785.799</v>
      </c>
      <c r="J73" s="30">
        <v>4437.3149999999996</v>
      </c>
      <c r="K73" s="30">
        <v>4231.4960000000001</v>
      </c>
      <c r="L73" s="30">
        <v>4056.4009999999998</v>
      </c>
    </row>
    <row r="74" spans="1:12" ht="14.95" customHeight="1" outlineLevel="3" x14ac:dyDescent="0.2">
      <c r="A74" s="14" t="s">
        <v>99</v>
      </c>
      <c r="B74" s="38">
        <v>-72.543999999999997</v>
      </c>
      <c r="C74" s="38">
        <v>-72.135999999999996</v>
      </c>
      <c r="D74" s="38">
        <v>-25.795000000000002</v>
      </c>
      <c r="E74" s="38">
        <v>-26.852</v>
      </c>
      <c r="F74" s="38">
        <v>-30.076000000000001</v>
      </c>
      <c r="G74" s="38">
        <v>-28.710999999999999</v>
      </c>
      <c r="H74" s="38">
        <v>-22.491</v>
      </c>
      <c r="I74" s="38">
        <v>-24.062999999999999</v>
      </c>
      <c r="J74" s="38">
        <v>-18.056999999999999</v>
      </c>
      <c r="K74" s="38">
        <v>-5.1319999999999997</v>
      </c>
      <c r="L74" s="31">
        <v>0.48299999999999998</v>
      </c>
    </row>
    <row r="75" spans="1:12" ht="14.95" customHeight="1" outlineLevel="3" x14ac:dyDescent="0.2">
      <c r="A75" s="13" t="s">
        <v>98</v>
      </c>
      <c r="B75" s="30">
        <v>0</v>
      </c>
      <c r="C75" s="30">
        <v>0</v>
      </c>
      <c r="D75" s="30">
        <v>0</v>
      </c>
      <c r="E75" s="30">
        <v>0</v>
      </c>
      <c r="F75" s="30">
        <v>0</v>
      </c>
      <c r="G75" s="36">
        <v>-0.01</v>
      </c>
      <c r="H75" s="30">
        <v>2E-3</v>
      </c>
      <c r="I75" s="30">
        <v>0.51900000000000002</v>
      </c>
      <c r="J75" s="36">
        <v>-0.32800000000000001</v>
      </c>
      <c r="K75" s="30">
        <v>0.21199999999999999</v>
      </c>
      <c r="L75" s="30">
        <v>0.51800000000000002</v>
      </c>
    </row>
    <row r="76" spans="1:12" ht="14.95" customHeight="1" outlineLevel="3" x14ac:dyDescent="0.2">
      <c r="A76" s="14" t="s">
        <v>97</v>
      </c>
      <c r="B76" s="38">
        <v>-115.758</v>
      </c>
      <c r="C76" s="38">
        <v>-126.01600000000001</v>
      </c>
      <c r="D76" s="38">
        <v>-160.77000000000001</v>
      </c>
      <c r="E76" s="38">
        <v>-222.60900000000001</v>
      </c>
      <c r="F76" s="38">
        <v>-157.72300000000001</v>
      </c>
      <c r="G76" s="38">
        <v>-29.719000000000001</v>
      </c>
      <c r="H76" s="38">
        <v>-38.869999999999997</v>
      </c>
      <c r="I76" s="38">
        <v>-50.27</v>
      </c>
      <c r="J76" s="38">
        <v>-32.466000000000001</v>
      </c>
      <c r="K76" s="38">
        <v>-163.60599999999999</v>
      </c>
      <c r="L76" s="38">
        <v>-81.546999999999997</v>
      </c>
    </row>
    <row r="77" spans="1:12" ht="14.95" customHeight="1" outlineLevel="2" x14ac:dyDescent="0.25">
      <c r="A77" s="12" t="s">
        <v>96</v>
      </c>
      <c r="B77" s="37">
        <v>35565.122000000003</v>
      </c>
      <c r="C77" s="37">
        <v>36465.322999999997</v>
      </c>
      <c r="D77" s="37">
        <v>37992.542000000001</v>
      </c>
      <c r="E77" s="37">
        <v>11997.945</v>
      </c>
      <c r="F77" s="37">
        <v>11709.188</v>
      </c>
      <c r="G77" s="37">
        <v>11268.173000000001</v>
      </c>
      <c r="H77" s="37">
        <v>10161.540000000001</v>
      </c>
      <c r="I77" s="37">
        <v>5165.6180000000004</v>
      </c>
      <c r="J77" s="37">
        <v>5072.9589999999998</v>
      </c>
      <c r="K77" s="37">
        <v>4757.8969999999999</v>
      </c>
      <c r="L77" s="37">
        <v>4739.576</v>
      </c>
    </row>
    <row r="78" spans="1:12" ht="14.95" customHeight="1" outlineLevel="3" x14ac:dyDescent="0.2">
      <c r="A78" s="14" t="s">
        <v>18</v>
      </c>
      <c r="B78" s="6">
        <v>-2.468655</v>
      </c>
      <c r="C78" s="6">
        <v>-4.0197859999999999</v>
      </c>
      <c r="D78" s="7">
        <v>216.65875199999999</v>
      </c>
      <c r="E78" s="7">
        <v>2.4660709999999999</v>
      </c>
      <c r="F78" s="7">
        <v>3.9138169999999999</v>
      </c>
      <c r="G78" s="7">
        <v>10.890404999999999</v>
      </c>
      <c r="H78" s="7">
        <v>96.714896999999993</v>
      </c>
      <c r="I78" s="7">
        <v>1.8265309999999999</v>
      </c>
      <c r="J78" s="7">
        <v>6.6218750000000002</v>
      </c>
      <c r="K78" s="7">
        <v>0.38654899999999998</v>
      </c>
      <c r="L78" s="7">
        <v>13.785541</v>
      </c>
    </row>
    <row r="79" spans="1:12" ht="14.95" customHeight="1" outlineLevel="3" x14ac:dyDescent="0.2">
      <c r="A79" s="13" t="s">
        <v>95</v>
      </c>
      <c r="B79" s="20">
        <v>72.887596000000002</v>
      </c>
      <c r="C79" s="20">
        <v>72.492284999999995</v>
      </c>
      <c r="D79" s="20">
        <v>72.612841000000003</v>
      </c>
      <c r="E79" s="20">
        <v>55.886006999999999</v>
      </c>
      <c r="F79" s="20">
        <v>54.734653999999999</v>
      </c>
      <c r="G79" s="20">
        <v>55.132455</v>
      </c>
      <c r="H79" s="20">
        <v>48.064891000000003</v>
      </c>
      <c r="I79" s="20">
        <v>64.811014</v>
      </c>
      <c r="J79" s="20">
        <v>71.832783000000006</v>
      </c>
      <c r="K79" s="20">
        <v>69.360232999999994</v>
      </c>
      <c r="L79" s="20">
        <v>74.267653999999993</v>
      </c>
    </row>
    <row r="80" spans="1:12" ht="14.95" customHeight="1" outlineLevel="2" x14ac:dyDescent="0.25">
      <c r="A80" s="24" t="s">
        <v>94</v>
      </c>
      <c r="B80" s="29">
        <v>35565.122000000003</v>
      </c>
      <c r="C80" s="29">
        <v>36465.322999999997</v>
      </c>
      <c r="D80" s="29">
        <v>37992.542000000001</v>
      </c>
      <c r="E80" s="29">
        <v>11997.945</v>
      </c>
      <c r="F80" s="29">
        <v>11709.188</v>
      </c>
      <c r="G80" s="29">
        <v>11268.173000000001</v>
      </c>
      <c r="H80" s="29">
        <v>10161.540000000001</v>
      </c>
      <c r="I80" s="29">
        <v>5165.6180000000004</v>
      </c>
      <c r="J80" s="29">
        <v>5072.9589999999998</v>
      </c>
      <c r="K80" s="29">
        <v>4757.8969999999999</v>
      </c>
      <c r="L80" s="29">
        <v>4739.576</v>
      </c>
    </row>
    <row r="81" spans="1:12" ht="14.95" customHeight="1" outlineLevel="3" x14ac:dyDescent="0.2">
      <c r="A81" s="13" t="s">
        <v>18</v>
      </c>
      <c r="B81" s="19">
        <v>-2.468655</v>
      </c>
      <c r="C81" s="19">
        <v>-4.0197859999999999</v>
      </c>
      <c r="D81" s="20">
        <v>216.65875199999999</v>
      </c>
      <c r="E81" s="20">
        <v>2.4660709999999999</v>
      </c>
      <c r="F81" s="20">
        <v>3.9138169999999999</v>
      </c>
      <c r="G81" s="20">
        <v>10.890404999999999</v>
      </c>
      <c r="H81" s="20">
        <v>96.714896999999993</v>
      </c>
      <c r="I81" s="20">
        <v>1.8265309999999999</v>
      </c>
      <c r="J81" s="20">
        <v>6.6218750000000002</v>
      </c>
      <c r="K81" s="20">
        <v>0.38654899999999998</v>
      </c>
      <c r="L81" s="20">
        <v>13.785541</v>
      </c>
    </row>
    <row r="82" spans="1:12" ht="14.95" customHeight="1" outlineLevel="3" x14ac:dyDescent="0.2">
      <c r="A82" s="14" t="s">
        <v>93</v>
      </c>
      <c r="B82" s="7">
        <v>72.887596000000002</v>
      </c>
      <c r="C82" s="7">
        <v>72.492284999999995</v>
      </c>
      <c r="D82" s="7">
        <v>72.612841000000003</v>
      </c>
      <c r="E82" s="7">
        <v>55.886006999999999</v>
      </c>
      <c r="F82" s="7">
        <v>54.734653999999999</v>
      </c>
      <c r="G82" s="7">
        <v>55.132455</v>
      </c>
      <c r="H82" s="7">
        <v>48.064891000000003</v>
      </c>
      <c r="I82" s="7">
        <v>64.811014</v>
      </c>
      <c r="J82" s="7">
        <v>71.832783000000006</v>
      </c>
      <c r="K82" s="7">
        <v>69.360232999999994</v>
      </c>
      <c r="L82" s="7">
        <v>74.267653999999993</v>
      </c>
    </row>
    <row r="83" spans="1:12" ht="14.95" customHeight="1" outlineLevel="1" x14ac:dyDescent="0.25">
      <c r="A83" s="8" t="s">
        <v>92</v>
      </c>
      <c r="B83" s="37">
        <v>48794.478000000003</v>
      </c>
      <c r="C83" s="37">
        <v>50302.35</v>
      </c>
      <c r="D83" s="37">
        <v>52322.071000000004</v>
      </c>
      <c r="E83" s="37">
        <v>21468.602999999999</v>
      </c>
      <c r="F83" s="37">
        <v>21392.641</v>
      </c>
      <c r="G83" s="37">
        <v>20438.366000000002</v>
      </c>
      <c r="H83" s="37">
        <v>21141.294000000002</v>
      </c>
      <c r="I83" s="37">
        <v>7970.2780000000002</v>
      </c>
      <c r="J83" s="37">
        <v>7062.1779999999999</v>
      </c>
      <c r="K83" s="37">
        <v>6859.69</v>
      </c>
      <c r="L83" s="37">
        <v>6381.75</v>
      </c>
    </row>
    <row r="84" spans="1:12" ht="14.95" customHeight="1" outlineLevel="2" x14ac:dyDescent="0.2">
      <c r="A84" s="10" t="s">
        <v>18</v>
      </c>
      <c r="B84" s="6">
        <v>-2.9976229999999999</v>
      </c>
      <c r="C84" s="6">
        <v>-3.860166</v>
      </c>
      <c r="D84" s="7">
        <v>143.714371</v>
      </c>
      <c r="E84" s="7">
        <v>0.35508899999999999</v>
      </c>
      <c r="F84" s="7">
        <v>4.6690399999999999</v>
      </c>
      <c r="G84" s="6">
        <v>-3.324913</v>
      </c>
      <c r="H84" s="7">
        <v>165.251678</v>
      </c>
      <c r="I84" s="7">
        <v>12.858634</v>
      </c>
      <c r="J84" s="7">
        <v>2.9518580000000001</v>
      </c>
      <c r="K84" s="7">
        <v>7.4891670000000001</v>
      </c>
      <c r="L84" s="7">
        <v>13.547256000000001</v>
      </c>
    </row>
    <row r="85" spans="1:12" ht="14.95" customHeight="1" outlineLevel="2" x14ac:dyDescent="0.2">
      <c r="A85" s="9" t="s">
        <v>91</v>
      </c>
      <c r="B85" s="20">
        <v>100</v>
      </c>
      <c r="C85" s="20">
        <v>100</v>
      </c>
      <c r="D85" s="20">
        <v>100</v>
      </c>
      <c r="E85" s="20">
        <v>100</v>
      </c>
      <c r="F85" s="20">
        <v>100</v>
      </c>
      <c r="G85" s="20">
        <v>100</v>
      </c>
      <c r="H85" s="20">
        <v>100</v>
      </c>
      <c r="I85" s="20">
        <v>100</v>
      </c>
      <c r="J85" s="20">
        <v>100</v>
      </c>
      <c r="K85" s="20">
        <v>100</v>
      </c>
      <c r="L85" s="20">
        <v>100</v>
      </c>
    </row>
    <row r="86" spans="1:12" ht="14.95" customHeight="1" x14ac:dyDescent="0.25">
      <c r="A86" s="16" t="s">
        <v>51</v>
      </c>
      <c r="B86" s="16"/>
      <c r="C86" s="16"/>
      <c r="D86" s="16"/>
      <c r="E86" s="16"/>
      <c r="F86" s="16"/>
      <c r="G86" s="16"/>
      <c r="H86" s="16"/>
      <c r="I86" s="16"/>
      <c r="J86" s="16"/>
      <c r="K86" s="16"/>
      <c r="L86" s="16"/>
    </row>
    <row r="87" spans="1:12" ht="14.95" customHeight="1" outlineLevel="1" x14ac:dyDescent="0.2">
      <c r="A87" s="4" t="s">
        <v>90</v>
      </c>
      <c r="B87" s="20">
        <v>71.666070000000005</v>
      </c>
      <c r="C87" s="20">
        <v>71.59948</v>
      </c>
      <c r="D87" s="20">
        <v>72.321200000000005</v>
      </c>
      <c r="E87" s="20">
        <v>32.472079999999998</v>
      </c>
      <c r="F87" s="20">
        <v>31.79232</v>
      </c>
      <c r="G87" s="20">
        <v>30.441389999999998</v>
      </c>
      <c r="H87" s="20">
        <v>27.565259999999999</v>
      </c>
      <c r="I87" s="20">
        <v>16.7622</v>
      </c>
      <c r="J87" s="20">
        <v>16.256319999999999</v>
      </c>
      <c r="K87" s="20">
        <v>15.288629999999999</v>
      </c>
      <c r="L87" s="20">
        <v>15.237590000000001</v>
      </c>
    </row>
    <row r="88" spans="1:12" ht="14.95" customHeight="1" outlineLevel="1" x14ac:dyDescent="0.2">
      <c r="A88" s="5" t="s">
        <v>89</v>
      </c>
      <c r="B88" s="6">
        <v>-5.3600130000000004</v>
      </c>
      <c r="C88" s="6">
        <v>-7.290883</v>
      </c>
      <c r="D88" s="6">
        <v>-7.9818259999999999</v>
      </c>
      <c r="E88" s="6">
        <v>-10.638486</v>
      </c>
      <c r="F88" s="6">
        <v>-12.937511000000001</v>
      </c>
      <c r="G88" s="6">
        <v>-15.567943</v>
      </c>
      <c r="H88" s="6">
        <v>-20.007118999999999</v>
      </c>
      <c r="I88" s="7">
        <v>9.5308709999999994</v>
      </c>
      <c r="J88" s="7">
        <v>9.1421829999999993</v>
      </c>
      <c r="K88" s="7">
        <v>7.853529</v>
      </c>
      <c r="L88" s="7">
        <v>14.232381</v>
      </c>
    </row>
    <row r="89" spans="1:12" ht="14.95" customHeight="1" x14ac:dyDescent="0.2">
      <c r="A89" s="25" t="s">
        <v>88</v>
      </c>
      <c r="B89" s="25"/>
      <c r="C89" s="25"/>
      <c r="D89" s="25"/>
      <c r="E89" s="25"/>
      <c r="F89" s="25"/>
      <c r="G89" s="25"/>
      <c r="H89" s="25"/>
      <c r="I89" s="25"/>
      <c r="J89" s="25"/>
      <c r="K89" s="25"/>
      <c r="L89" s="25"/>
    </row>
    <row r="90" spans="1:12" ht="14.95" customHeight="1" x14ac:dyDescent="0.2">
      <c r="A90" s="23" t="s">
        <v>87</v>
      </c>
      <c r="B90" s="31">
        <v>1183.0509999999999</v>
      </c>
      <c r="C90" s="31">
        <v>2495.337</v>
      </c>
      <c r="D90" s="31">
        <v>2608.0050000000001</v>
      </c>
      <c r="E90" s="31">
        <v>1152.702</v>
      </c>
      <c r="F90" s="31">
        <v>476.49400000000003</v>
      </c>
      <c r="G90" s="31">
        <v>1060.3779999999999</v>
      </c>
      <c r="H90" s="31">
        <v>755.00599999999997</v>
      </c>
      <c r="I90" s="31">
        <v>4191.9290000000001</v>
      </c>
      <c r="J90" s="31">
        <v>2965.7179999999998</v>
      </c>
      <c r="K90" s="31">
        <v>3102.83</v>
      </c>
      <c r="L90" s="31">
        <v>4901.9129999999996</v>
      </c>
    </row>
    <row r="91" spans="1:12" ht="14.95" customHeight="1" x14ac:dyDescent="0.2">
      <c r="A91" s="25" t="s">
        <v>86</v>
      </c>
      <c r="B91" s="30">
        <v>42939.06</v>
      </c>
      <c r="C91" s="30">
        <v>43404.855000000003</v>
      </c>
      <c r="D91" s="30">
        <v>45110.775000000001</v>
      </c>
      <c r="E91" s="30">
        <v>17471.462</v>
      </c>
      <c r="F91" s="30">
        <v>17201.107</v>
      </c>
      <c r="G91" s="30">
        <v>17600.847000000002</v>
      </c>
      <c r="H91" s="30">
        <v>18012.624</v>
      </c>
      <c r="I91" s="30">
        <v>6897.7950000000001</v>
      </c>
      <c r="J91" s="30">
        <v>5946.2950000000001</v>
      </c>
      <c r="K91" s="30">
        <v>5630.6859999999997</v>
      </c>
      <c r="L91" s="30">
        <v>5611.817</v>
      </c>
    </row>
    <row r="92" spans="1:12" ht="14.95" customHeight="1" x14ac:dyDescent="0.2">
      <c r="A92" s="23" t="s">
        <v>85</v>
      </c>
      <c r="B92" s="31">
        <v>7373.9380000000001</v>
      </c>
      <c r="C92" s="31">
        <v>6939.5320000000002</v>
      </c>
      <c r="D92" s="31">
        <v>7118.2330000000002</v>
      </c>
      <c r="E92" s="31">
        <v>5473.5169999999998</v>
      </c>
      <c r="F92" s="31">
        <v>5491.9189999999999</v>
      </c>
      <c r="G92" s="31">
        <v>6332.674</v>
      </c>
      <c r="H92" s="31">
        <v>7851.0839999999998</v>
      </c>
      <c r="I92" s="31">
        <v>1732.1769999999999</v>
      </c>
      <c r="J92" s="31">
        <v>873.33600000000001</v>
      </c>
      <c r="K92" s="31">
        <v>872.78899999999999</v>
      </c>
      <c r="L92" s="31">
        <v>872.24099999999999</v>
      </c>
    </row>
    <row r="93" spans="1:12" ht="14.95" customHeight="1" x14ac:dyDescent="0.2">
      <c r="A93" s="25" t="s">
        <v>84</v>
      </c>
      <c r="B93" s="30">
        <v>6415.8770000000004</v>
      </c>
      <c r="C93" s="30">
        <v>5468.96</v>
      </c>
      <c r="D93" s="30">
        <v>5140.2690000000002</v>
      </c>
      <c r="E93" s="30">
        <v>4417.6570000000002</v>
      </c>
      <c r="F93" s="30">
        <v>4843.5969999999998</v>
      </c>
      <c r="G93" s="30">
        <v>5516.0829999999996</v>
      </c>
      <c r="H93" s="30">
        <v>6803.2460000000001</v>
      </c>
      <c r="I93" s="36">
        <v>-2323.616</v>
      </c>
      <c r="J93" s="36">
        <v>-2155.5920000000001</v>
      </c>
      <c r="K93" s="36">
        <v>-1993.6790000000001</v>
      </c>
      <c r="L93" s="36">
        <v>-3810.6709999999998</v>
      </c>
    </row>
    <row r="94" spans="1:12" ht="14.95" customHeight="1" x14ac:dyDescent="0.25">
      <c r="A94" s="16" t="s">
        <v>83</v>
      </c>
      <c r="B94" s="16"/>
      <c r="C94" s="16"/>
      <c r="D94" s="16"/>
      <c r="E94" s="16"/>
      <c r="F94" s="16"/>
      <c r="G94" s="16"/>
      <c r="H94" s="16"/>
      <c r="I94" s="16"/>
      <c r="J94" s="16"/>
      <c r="K94" s="16"/>
      <c r="L94" s="16"/>
    </row>
    <row r="95" spans="1:12" ht="14.95" customHeight="1" outlineLevel="1" x14ac:dyDescent="0.2">
      <c r="A95" s="4" t="s">
        <v>82</v>
      </c>
      <c r="B95" s="20">
        <v>103.046881</v>
      </c>
      <c r="C95" s="20">
        <v>86.234846000000005</v>
      </c>
      <c r="D95" s="20">
        <v>99.212141000000003</v>
      </c>
      <c r="E95" s="20">
        <v>95.024833999999998</v>
      </c>
      <c r="F95" s="20">
        <v>90.689183</v>
      </c>
      <c r="G95" s="20">
        <v>86.373937999999995</v>
      </c>
      <c r="H95" s="20">
        <v>72.159071999999995</v>
      </c>
      <c r="I95" s="20">
        <v>113.68173299999999</v>
      </c>
      <c r="J95" s="20">
        <v>111.823373</v>
      </c>
      <c r="K95" s="20">
        <v>111.94434800000001</v>
      </c>
      <c r="L95" s="20">
        <v>115.642375</v>
      </c>
    </row>
    <row r="96" spans="1:12" ht="14.95" customHeight="1" outlineLevel="1" x14ac:dyDescent="0.2">
      <c r="A96" s="5" t="s">
        <v>81</v>
      </c>
      <c r="B96" s="7">
        <v>48.499360000000003</v>
      </c>
      <c r="C96" s="7">
        <v>49.514263999999997</v>
      </c>
      <c r="D96" s="7">
        <v>54.777585999999999</v>
      </c>
      <c r="E96" s="7">
        <v>44.710000999999998</v>
      </c>
      <c r="F96" s="7">
        <v>38.834609999999998</v>
      </c>
      <c r="G96" s="7">
        <v>38.954922000000003</v>
      </c>
      <c r="H96" s="7">
        <v>41.683297000000003</v>
      </c>
      <c r="I96" s="7">
        <v>50.360778000000003</v>
      </c>
      <c r="J96" s="7">
        <v>45.856586</v>
      </c>
      <c r="K96" s="7">
        <v>45.978928000000003</v>
      </c>
      <c r="L96" s="7">
        <v>46.082534000000003</v>
      </c>
    </row>
    <row r="97" spans="1:12" ht="14.95" customHeight="1" outlineLevel="1" x14ac:dyDescent="0.2">
      <c r="A97" s="4" t="s">
        <v>80</v>
      </c>
      <c r="B97" s="20">
        <v>34.853186999999998</v>
      </c>
      <c r="C97" s="20">
        <v>32.820788999999998</v>
      </c>
      <c r="D97" s="20">
        <v>31.227542</v>
      </c>
      <c r="E97" s="20">
        <v>35.326455000000003</v>
      </c>
      <c r="F97" s="20">
        <v>36.495984999999997</v>
      </c>
      <c r="G97" s="20">
        <v>37.221350000000001</v>
      </c>
      <c r="H97" s="20">
        <v>29.556092</v>
      </c>
      <c r="I97" s="20">
        <v>51.263325000000002</v>
      </c>
      <c r="J97" s="20">
        <v>43.377502999999997</v>
      </c>
      <c r="K97" s="20">
        <v>41.227564999999998</v>
      </c>
      <c r="L97" s="20">
        <v>47.438946999999999</v>
      </c>
    </row>
    <row r="98" spans="1:12" ht="14.95" customHeight="1" x14ac:dyDescent="0.25">
      <c r="A98" s="16" t="s">
        <v>79</v>
      </c>
      <c r="B98" s="16"/>
      <c r="C98" s="16"/>
      <c r="D98" s="16"/>
      <c r="E98" s="16"/>
      <c r="F98" s="16"/>
      <c r="G98" s="16"/>
      <c r="H98" s="16"/>
      <c r="I98" s="16"/>
      <c r="J98" s="16"/>
      <c r="K98" s="16"/>
      <c r="L98" s="16"/>
    </row>
    <row r="99" spans="1:12" ht="14.95" customHeight="1" outlineLevel="1" x14ac:dyDescent="0.2">
      <c r="A99" s="4" t="s">
        <v>78</v>
      </c>
      <c r="B99" s="19">
        <v>-13.715</v>
      </c>
      <c r="C99" s="19">
        <v>-6.4029999999999996</v>
      </c>
      <c r="D99" s="19">
        <v>-37.015999999999998</v>
      </c>
      <c r="E99" s="19">
        <v>-49.939</v>
      </c>
      <c r="F99" s="19">
        <v>-39.707999999999998</v>
      </c>
      <c r="G99" s="19">
        <v>-15.364000000000001</v>
      </c>
      <c r="H99" s="19">
        <v>-27.991</v>
      </c>
      <c r="I99" s="19">
        <v>-31.385999999999999</v>
      </c>
      <c r="J99" s="19">
        <v>-14.773999999999999</v>
      </c>
      <c r="K99" s="19">
        <v>-164.26499999999999</v>
      </c>
      <c r="L99" s="19">
        <v>-90.644000000000005</v>
      </c>
    </row>
    <row r="100" spans="1:12" ht="14.95" customHeight="1" outlineLevel="1" x14ac:dyDescent="0.2">
      <c r="A100" s="5" t="s">
        <v>77</v>
      </c>
      <c r="B100" s="6">
        <v>-102.04300000000001</v>
      </c>
      <c r="C100" s="6">
        <v>-119.613</v>
      </c>
      <c r="D100" s="6">
        <v>-123.754</v>
      </c>
      <c r="E100" s="6">
        <v>-172.67</v>
      </c>
      <c r="F100" s="6">
        <v>-118.015</v>
      </c>
      <c r="G100" s="6">
        <v>-14.355</v>
      </c>
      <c r="H100" s="6">
        <v>-10.879</v>
      </c>
      <c r="I100" s="6">
        <v>-18.884</v>
      </c>
      <c r="J100" s="6">
        <v>-17.692</v>
      </c>
      <c r="K100" s="7">
        <v>0.65900000000000003</v>
      </c>
      <c r="L100" s="7">
        <v>9.0969999999999995</v>
      </c>
    </row>
    <row r="101" spans="1:12" ht="14.95" customHeight="1" x14ac:dyDescent="0.25">
      <c r="A101" s="2" t="s">
        <v>76</v>
      </c>
      <c r="B101" s="2"/>
      <c r="C101" s="2"/>
      <c r="D101" s="2"/>
      <c r="E101" s="2"/>
      <c r="F101" s="2"/>
      <c r="G101" s="2"/>
      <c r="H101" s="2"/>
      <c r="I101" s="2"/>
      <c r="J101" s="2"/>
      <c r="K101" s="2"/>
      <c r="L101" s="2"/>
    </row>
    <row r="102" spans="1:12" ht="14.95" customHeight="1" outlineLevel="1" x14ac:dyDescent="0.2">
      <c r="A102" s="5" t="s">
        <v>75</v>
      </c>
      <c r="B102" s="11">
        <v>236.86017000000001</v>
      </c>
      <c r="C102" s="11">
        <v>255.55473000000001</v>
      </c>
      <c r="D102" s="11">
        <v>177.83602999999999</v>
      </c>
      <c r="E102" s="11">
        <v>109.14814</v>
      </c>
      <c r="F102" s="11">
        <v>118.73699999999999</v>
      </c>
      <c r="G102" s="11">
        <v>119.42035</v>
      </c>
      <c r="H102" s="11">
        <v>62.512799999999999</v>
      </c>
      <c r="I102" s="11">
        <v>38.052599999999998</v>
      </c>
      <c r="J102" s="11">
        <v>41.351399999999998</v>
      </c>
      <c r="K102" s="11">
        <v>30.487200000000001</v>
      </c>
      <c r="L102" s="11">
        <v>34.131599999999999</v>
      </c>
    </row>
    <row r="103" spans="1:12" ht="14.95" customHeight="1" x14ac:dyDescent="0.2">
      <c r="A103" s="25" t="s">
        <v>74</v>
      </c>
      <c r="B103" s="25"/>
      <c r="C103" s="25"/>
      <c r="D103" s="25"/>
      <c r="E103" s="25"/>
      <c r="F103" s="25"/>
      <c r="G103" s="25"/>
      <c r="H103" s="25"/>
      <c r="I103" s="25"/>
      <c r="J103" s="25"/>
      <c r="K103" s="25"/>
      <c r="L103" s="25"/>
    </row>
    <row r="104" spans="1:12" ht="14.95" customHeight="1" x14ac:dyDescent="0.25">
      <c r="A104" s="16" t="s">
        <v>73</v>
      </c>
      <c r="B104" s="17">
        <v>494.66199999999998</v>
      </c>
      <c r="C104" s="17">
        <v>454.54300000000001</v>
      </c>
      <c r="D104" s="17">
        <v>393.00200000000001</v>
      </c>
      <c r="E104" s="17">
        <v>380.84300000000002</v>
      </c>
      <c r="F104" s="17">
        <v>448.721</v>
      </c>
      <c r="G104" s="16"/>
      <c r="H104" s="17">
        <v>142.91300000000001</v>
      </c>
      <c r="I104" s="17">
        <v>82.625</v>
      </c>
      <c r="J104" s="17">
        <v>59.488</v>
      </c>
      <c r="K104" s="17">
        <v>52.292999999999999</v>
      </c>
      <c r="L104" s="17">
        <v>69.070999999999998</v>
      </c>
    </row>
    <row r="105" spans="1:12" ht="14.95" customHeight="1" outlineLevel="1" x14ac:dyDescent="0.2">
      <c r="A105" s="4" t="s">
        <v>72</v>
      </c>
      <c r="B105" s="15">
        <v>80.998000000000005</v>
      </c>
      <c r="C105" s="15">
        <v>31.199000000000002</v>
      </c>
      <c r="D105" s="15">
        <v>61.854999999999997</v>
      </c>
      <c r="E105" s="15">
        <v>49.526000000000003</v>
      </c>
      <c r="F105" s="15">
        <v>79.789000000000001</v>
      </c>
      <c r="G105" s="25"/>
      <c r="H105" s="15">
        <v>41.795000000000002</v>
      </c>
      <c r="I105" s="15">
        <v>34.328000000000003</v>
      </c>
      <c r="J105" s="15">
        <v>21.78</v>
      </c>
      <c r="K105" s="15">
        <v>22.780999999999999</v>
      </c>
      <c r="L105" s="15">
        <v>28.045000000000002</v>
      </c>
    </row>
    <row r="106" spans="1:12" ht="14.95" customHeight="1" outlineLevel="1" x14ac:dyDescent="0.2">
      <c r="A106" s="5" t="s">
        <v>71</v>
      </c>
      <c r="B106" s="11">
        <v>76.814999999999998</v>
      </c>
      <c r="C106" s="11">
        <v>68.433000000000007</v>
      </c>
      <c r="D106" s="11">
        <v>53.963999999999999</v>
      </c>
      <c r="E106" s="11">
        <v>43.834000000000003</v>
      </c>
      <c r="F106" s="11">
        <v>67.992999999999995</v>
      </c>
      <c r="G106" s="23"/>
      <c r="H106" s="11">
        <v>23.663</v>
      </c>
      <c r="I106" s="11">
        <v>25.300999999999998</v>
      </c>
      <c r="J106" s="11">
        <v>16.305</v>
      </c>
      <c r="K106" s="11">
        <v>13.829000000000001</v>
      </c>
      <c r="L106" s="11">
        <v>17.879000000000001</v>
      </c>
    </row>
    <row r="107" spans="1:12" ht="14.95" customHeight="1" outlineLevel="1" x14ac:dyDescent="0.2">
      <c r="A107" s="4" t="s">
        <v>70</v>
      </c>
      <c r="B107" s="15">
        <v>71.75</v>
      </c>
      <c r="C107" s="15">
        <v>63.064999999999998</v>
      </c>
      <c r="D107" s="15">
        <v>49.454000000000001</v>
      </c>
      <c r="E107" s="15">
        <v>39.204000000000001</v>
      </c>
      <c r="F107" s="15">
        <v>40.338000000000001</v>
      </c>
      <c r="G107" s="25"/>
      <c r="H107" s="15">
        <v>17.478999999999999</v>
      </c>
      <c r="I107" s="15">
        <v>8.1300000000000008</v>
      </c>
      <c r="J107" s="15">
        <v>8.67</v>
      </c>
      <c r="K107" s="15">
        <v>8.4489999999999998</v>
      </c>
      <c r="L107" s="15">
        <v>9.8870000000000005</v>
      </c>
    </row>
    <row r="108" spans="1:12" ht="14.95" customHeight="1" outlineLevel="1" x14ac:dyDescent="0.2">
      <c r="A108" s="5" t="s">
        <v>69</v>
      </c>
      <c r="B108" s="11">
        <v>65.278000000000006</v>
      </c>
      <c r="C108" s="11">
        <v>59.155999999999999</v>
      </c>
      <c r="D108" s="11">
        <v>44.055</v>
      </c>
      <c r="E108" s="11">
        <v>38.335000000000001</v>
      </c>
      <c r="F108" s="11">
        <v>37.673000000000002</v>
      </c>
      <c r="G108" s="23"/>
      <c r="H108" s="11">
        <v>13.048</v>
      </c>
      <c r="I108" s="11">
        <v>7.0330000000000004</v>
      </c>
      <c r="J108" s="11">
        <v>4.1719999999999997</v>
      </c>
      <c r="K108" s="11">
        <v>5.4489999999999998</v>
      </c>
      <c r="L108" s="11">
        <v>7.016</v>
      </c>
    </row>
    <row r="109" spans="1:12" ht="14.95" customHeight="1" outlineLevel="1" x14ac:dyDescent="0.2">
      <c r="A109" s="4" t="s">
        <v>68</v>
      </c>
      <c r="B109" s="15">
        <v>52.924999999999997</v>
      </c>
      <c r="C109" s="15">
        <v>54.027000000000001</v>
      </c>
      <c r="D109" s="15">
        <v>40.003999999999998</v>
      </c>
      <c r="E109" s="15">
        <v>36.234999999999999</v>
      </c>
      <c r="F109" s="15">
        <v>32.756999999999998</v>
      </c>
      <c r="G109" s="25"/>
      <c r="H109" s="15">
        <v>9.35</v>
      </c>
      <c r="I109" s="15">
        <v>4.4390000000000001</v>
      </c>
      <c r="J109" s="15">
        <v>3.298</v>
      </c>
      <c r="K109" s="15">
        <v>1.3320000000000001</v>
      </c>
      <c r="L109" s="15">
        <v>4.4909999999999997</v>
      </c>
    </row>
    <row r="110" spans="1:12" ht="14.95" customHeight="1" outlineLevel="1" x14ac:dyDescent="0.2">
      <c r="A110" s="5" t="s">
        <v>67</v>
      </c>
      <c r="B110" s="11">
        <v>146.89599999999999</v>
      </c>
      <c r="C110" s="11">
        <v>178.66300000000001</v>
      </c>
      <c r="D110" s="11">
        <v>143.66999999999999</v>
      </c>
      <c r="E110" s="11">
        <v>173.709</v>
      </c>
      <c r="F110" s="11">
        <v>190.17099999999999</v>
      </c>
      <c r="G110" s="23"/>
      <c r="H110" s="11">
        <v>37.578000000000003</v>
      </c>
      <c r="I110" s="11">
        <v>3.3940000000000001</v>
      </c>
      <c r="J110" s="11">
        <v>5.2629999999999999</v>
      </c>
      <c r="K110" s="11">
        <v>0.45300000000000001</v>
      </c>
      <c r="L110" s="11">
        <v>1.7529999999999999</v>
      </c>
    </row>
    <row r="111" spans="1:12" ht="14.95" customHeight="1" x14ac:dyDescent="0.2">
      <c r="A111" s="25" t="s">
        <v>66</v>
      </c>
      <c r="B111" s="15">
        <v>499.05200000000002</v>
      </c>
      <c r="C111" s="15">
        <v>0</v>
      </c>
      <c r="D111" s="15">
        <v>516.66300000000001</v>
      </c>
      <c r="E111" s="15">
        <v>0</v>
      </c>
      <c r="F111" s="15">
        <v>299.66699999999997</v>
      </c>
      <c r="G111" s="15">
        <v>67</v>
      </c>
      <c r="H111" s="15">
        <v>300</v>
      </c>
      <c r="I111" s="15">
        <v>0</v>
      </c>
      <c r="J111" s="15">
        <v>374.839</v>
      </c>
      <c r="K111" s="15">
        <v>0</v>
      </c>
      <c r="L111" s="15">
        <v>0</v>
      </c>
    </row>
    <row r="112" spans="1:12" ht="14.95" customHeight="1" x14ac:dyDescent="0.2">
      <c r="A112" s="32" t="s">
        <v>63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85272-42C1-FE4C-B0C3-0DAAC145A3B2}">
  <sheetPr>
    <outlinePr summaryBelow="0" summaryRight="0"/>
  </sheetPr>
  <dimension ref="A1:M66"/>
  <sheetViews>
    <sheetView workbookViewId="0">
      <selection activeCell="B23" sqref="B23"/>
    </sheetView>
  </sheetViews>
  <sheetFormatPr defaultColWidth="9.125" defaultRowHeight="14.95" customHeight="1" outlineLevelRow="3" x14ac:dyDescent="0.2"/>
  <cols>
    <col min="1" max="1" width="51.375" customWidth="1"/>
    <col min="2" max="2" width="8" customWidth="1"/>
    <col min="3" max="8" width="8.125" customWidth="1"/>
    <col min="9" max="9" width="8.5" customWidth="1"/>
    <col min="10" max="13" width="8.125" customWidth="1"/>
  </cols>
  <sheetData>
    <row r="1" spans="1:13" ht="14.95" customHeight="1" x14ac:dyDescent="0.25">
      <c r="A1" s="33" t="s">
        <v>64</v>
      </c>
    </row>
    <row r="2" spans="1:13" ht="14.95" customHeight="1" x14ac:dyDescent="0.2">
      <c r="A2" s="35" t="s">
        <v>65</v>
      </c>
    </row>
    <row r="3" spans="1:13" ht="14.95" customHeight="1" x14ac:dyDescent="0.2">
      <c r="A3" s="34"/>
      <c r="B3" s="34"/>
      <c r="C3" s="34"/>
      <c r="D3" s="34"/>
      <c r="E3" s="34"/>
      <c r="F3" s="34"/>
      <c r="G3" s="34"/>
      <c r="H3" s="34"/>
      <c r="I3" s="34"/>
      <c r="J3" s="34"/>
      <c r="K3" s="34"/>
      <c r="L3" s="34"/>
      <c r="M3" s="34"/>
    </row>
    <row r="5" spans="1:13" ht="14.95" customHeight="1" x14ac:dyDescent="0.25">
      <c r="A5" s="1" t="s">
        <v>0</v>
      </c>
      <c r="B5" s="1"/>
      <c r="C5" s="1"/>
      <c r="D5" s="1"/>
      <c r="E5" s="1"/>
      <c r="F5" s="1"/>
      <c r="G5" s="1"/>
      <c r="H5" s="1"/>
      <c r="I5" s="1"/>
      <c r="J5" s="1"/>
      <c r="K5" s="1"/>
      <c r="L5" s="1"/>
      <c r="M5" s="1"/>
    </row>
    <row r="6" spans="1:13" ht="14.95" customHeight="1" x14ac:dyDescent="0.25">
      <c r="A6" s="1" t="s">
        <v>1</v>
      </c>
      <c r="B6" s="1"/>
      <c r="C6" s="1"/>
      <c r="D6" s="1"/>
      <c r="E6" s="1"/>
      <c r="F6" s="1"/>
      <c r="G6" s="1"/>
      <c r="H6" s="1"/>
      <c r="I6" s="1"/>
      <c r="J6" s="1"/>
      <c r="K6" s="1"/>
      <c r="L6" s="1"/>
      <c r="M6" s="1"/>
    </row>
    <row r="7" spans="1:13" ht="14.95" customHeight="1" x14ac:dyDescent="0.25">
      <c r="A7" s="1" t="s">
        <v>2</v>
      </c>
      <c r="B7" s="1"/>
      <c r="C7" s="1"/>
      <c r="D7" s="1"/>
      <c r="E7" s="1"/>
      <c r="F7" s="1"/>
      <c r="G7" s="1"/>
      <c r="H7" s="1"/>
      <c r="I7" s="1"/>
      <c r="J7" s="1"/>
      <c r="K7" s="1"/>
      <c r="L7" s="1"/>
      <c r="M7" s="1"/>
    </row>
    <row r="8" spans="1:13" ht="14.95" customHeight="1" x14ac:dyDescent="0.25">
      <c r="A8" s="1"/>
      <c r="B8" s="1" t="s">
        <v>3</v>
      </c>
      <c r="C8" s="1" t="s">
        <v>4</v>
      </c>
      <c r="D8" s="1" t="s">
        <v>5</v>
      </c>
      <c r="E8" s="1" t="s">
        <v>6</v>
      </c>
      <c r="F8" s="1" t="s">
        <v>7</v>
      </c>
      <c r="G8" s="1" t="s">
        <v>8</v>
      </c>
      <c r="H8" s="1" t="s">
        <v>9</v>
      </c>
      <c r="I8" s="1" t="s">
        <v>10</v>
      </c>
      <c r="J8" s="1" t="s">
        <v>11</v>
      </c>
      <c r="K8" s="1" t="s">
        <v>12</v>
      </c>
      <c r="L8" s="1" t="s">
        <v>13</v>
      </c>
      <c r="M8" s="1" t="s">
        <v>14</v>
      </c>
    </row>
    <row r="9" spans="1:13" ht="14.95" customHeight="1" x14ac:dyDescent="0.25">
      <c r="A9" s="1"/>
      <c r="B9" s="1" t="s">
        <v>15</v>
      </c>
      <c r="C9" s="1"/>
      <c r="D9" s="1"/>
      <c r="E9" s="1"/>
      <c r="F9" s="1"/>
      <c r="G9" s="1"/>
      <c r="H9" s="1"/>
      <c r="I9" s="1"/>
      <c r="J9" s="1"/>
      <c r="K9" s="1"/>
      <c r="L9" s="1"/>
      <c r="M9" s="1"/>
    </row>
    <row r="10" spans="1:13" ht="14.95" customHeight="1" x14ac:dyDescent="0.25">
      <c r="A10" s="1"/>
      <c r="B10" s="1"/>
      <c r="C10" s="1"/>
      <c r="D10" s="1"/>
      <c r="E10" s="1"/>
      <c r="F10" s="1"/>
      <c r="G10" s="1"/>
      <c r="H10" s="1" t="s">
        <v>16</v>
      </c>
      <c r="I10" s="1"/>
      <c r="J10" s="1"/>
      <c r="K10" s="1"/>
      <c r="L10" s="1"/>
      <c r="M10" s="1"/>
    </row>
    <row r="11" spans="1:13" ht="14.95" customHeight="1" x14ac:dyDescent="0.2">
      <c r="A11" s="25" t="s">
        <v>207</v>
      </c>
      <c r="B11" s="25"/>
      <c r="C11" s="25"/>
      <c r="D11" s="25"/>
      <c r="E11" s="25"/>
      <c r="F11" s="25"/>
      <c r="G11" s="25"/>
      <c r="H11" s="25"/>
      <c r="I11" s="25"/>
      <c r="J11" s="25"/>
      <c r="K11" s="25"/>
      <c r="L11" s="25"/>
      <c r="M11" s="25"/>
    </row>
    <row r="12" spans="1:13" ht="14.95" customHeight="1" x14ac:dyDescent="0.25">
      <c r="A12" s="16" t="s">
        <v>206</v>
      </c>
      <c r="B12" s="16"/>
      <c r="C12" s="16"/>
      <c r="D12" s="16"/>
      <c r="E12" s="16"/>
      <c r="F12" s="16"/>
      <c r="G12" s="16"/>
      <c r="H12" s="16"/>
      <c r="I12" s="16"/>
      <c r="J12" s="16"/>
      <c r="K12" s="16"/>
      <c r="L12" s="16"/>
      <c r="M12" s="16"/>
    </row>
    <row r="13" spans="1:13" ht="14.95" customHeight="1" outlineLevel="1" x14ac:dyDescent="0.2">
      <c r="A13" s="4" t="s">
        <v>205</v>
      </c>
      <c r="B13" s="15">
        <v>1655.6310000000001</v>
      </c>
      <c r="C13" s="15">
        <v>3314.5790000000002</v>
      </c>
      <c r="D13" s="15">
        <v>2748.5610000000001</v>
      </c>
      <c r="E13" s="15">
        <v>1390.422</v>
      </c>
      <c r="F13" s="15">
        <v>1220.761</v>
      </c>
      <c r="G13" s="15">
        <v>1363.011</v>
      </c>
      <c r="H13" s="15">
        <v>1506.98</v>
      </c>
      <c r="I13" s="15">
        <v>727.25900000000001</v>
      </c>
      <c r="J13" s="15">
        <v>861.66399999999999</v>
      </c>
      <c r="K13" s="15">
        <v>696.87800000000004</v>
      </c>
      <c r="L13" s="15">
        <v>629.32000000000005</v>
      </c>
      <c r="M13" s="15">
        <v>673.48699999999997</v>
      </c>
    </row>
    <row r="14" spans="1:13" ht="14.95" customHeight="1" outlineLevel="1" x14ac:dyDescent="0.25">
      <c r="A14" s="21" t="s">
        <v>204</v>
      </c>
      <c r="B14" s="17">
        <v>2119.9720000000002</v>
      </c>
      <c r="C14" s="17">
        <v>2293.1030000000001</v>
      </c>
      <c r="D14" s="17">
        <v>2297.4989999999998</v>
      </c>
      <c r="E14" s="17">
        <v>1074.634</v>
      </c>
      <c r="F14" s="17">
        <v>810.923</v>
      </c>
      <c r="G14" s="17">
        <v>811.25099999999998</v>
      </c>
      <c r="H14" s="17">
        <v>799.06299999999999</v>
      </c>
      <c r="I14" s="17">
        <v>584.05899999999997</v>
      </c>
      <c r="J14" s="17">
        <v>209.79</v>
      </c>
      <c r="K14" s="17">
        <v>222.24</v>
      </c>
      <c r="L14" s="17">
        <v>141.97</v>
      </c>
      <c r="M14" s="17">
        <v>110.416</v>
      </c>
    </row>
    <row r="15" spans="1:13" ht="14.95" customHeight="1" outlineLevel="2" x14ac:dyDescent="0.2">
      <c r="A15" s="9" t="s">
        <v>203</v>
      </c>
      <c r="B15" s="15">
        <v>348.44900000000001</v>
      </c>
      <c r="C15" s="15">
        <v>334.70400000000001</v>
      </c>
      <c r="D15" s="15">
        <v>283.33800000000002</v>
      </c>
      <c r="E15" s="15">
        <v>231.27500000000001</v>
      </c>
      <c r="F15" s="15">
        <v>233.77500000000001</v>
      </c>
      <c r="G15" s="15">
        <v>240.67699999999999</v>
      </c>
      <c r="H15" s="15">
        <v>228.52500000000001</v>
      </c>
      <c r="I15" s="15">
        <v>194.666</v>
      </c>
      <c r="J15" s="15">
        <v>134.54</v>
      </c>
      <c r="K15" s="15">
        <v>130.14699999999999</v>
      </c>
      <c r="L15" s="15">
        <v>114.06399999999999</v>
      </c>
      <c r="M15" s="15">
        <v>110.196</v>
      </c>
    </row>
    <row r="16" spans="1:13" ht="14.95" customHeight="1" outlineLevel="2" x14ac:dyDescent="0.2">
      <c r="A16" s="10" t="s">
        <v>202</v>
      </c>
      <c r="B16" s="11">
        <v>1771.5229999999999</v>
      </c>
      <c r="C16" s="11">
        <v>1958.3989999999999</v>
      </c>
      <c r="D16" s="11">
        <v>2014.1610000000001</v>
      </c>
      <c r="E16" s="11">
        <v>843.35900000000004</v>
      </c>
      <c r="F16" s="11">
        <v>577.14800000000002</v>
      </c>
      <c r="G16" s="11">
        <v>570.57399999999996</v>
      </c>
      <c r="H16" s="11">
        <v>570.53800000000001</v>
      </c>
      <c r="I16" s="11">
        <v>389.39299999999997</v>
      </c>
      <c r="J16" s="11">
        <v>75.25</v>
      </c>
      <c r="K16" s="11">
        <v>92.093000000000004</v>
      </c>
      <c r="L16" s="11">
        <v>27.905999999999999</v>
      </c>
      <c r="M16" s="11">
        <v>0.22</v>
      </c>
    </row>
    <row r="17" spans="1:13" ht="14.95" customHeight="1" outlineLevel="1" x14ac:dyDescent="0.25">
      <c r="A17" s="8" t="s">
        <v>201</v>
      </c>
      <c r="B17" s="3">
        <v>-291.11900000000003</v>
      </c>
      <c r="C17" s="3">
        <v>-452.94600000000003</v>
      </c>
      <c r="D17" s="3">
        <v>-326.755</v>
      </c>
      <c r="E17" s="3">
        <v>-406.92200000000003</v>
      </c>
      <c r="F17" s="3">
        <v>-113.94799999999999</v>
      </c>
      <c r="G17" s="3">
        <v>-91.253</v>
      </c>
      <c r="H17" s="3">
        <v>-730.37599999999998</v>
      </c>
      <c r="I17" s="3">
        <v>-825.86900000000003</v>
      </c>
      <c r="J17" s="3">
        <v>8.1240000000000006</v>
      </c>
      <c r="K17" s="3">
        <v>-52.213999999999999</v>
      </c>
      <c r="L17" s="3">
        <v>-77.710999999999999</v>
      </c>
      <c r="M17" s="3">
        <v>-17.699000000000002</v>
      </c>
    </row>
    <row r="18" spans="1:13" ht="14.95" customHeight="1" outlineLevel="2" x14ac:dyDescent="0.2">
      <c r="A18" s="10" t="s">
        <v>200</v>
      </c>
      <c r="B18" s="22">
        <v>-291.11900000000003</v>
      </c>
      <c r="C18" s="22">
        <v>-452.94600000000003</v>
      </c>
      <c r="D18" s="22">
        <v>-326.755</v>
      </c>
      <c r="E18" s="22">
        <v>-406.92200000000003</v>
      </c>
      <c r="F18" s="22">
        <v>-113.94799999999999</v>
      </c>
      <c r="G18" s="22">
        <v>-91.253</v>
      </c>
      <c r="H18" s="22">
        <v>-730.37599999999998</v>
      </c>
      <c r="I18" s="22">
        <v>-825.86900000000003</v>
      </c>
      <c r="J18" s="11">
        <v>8.1240000000000006</v>
      </c>
      <c r="K18" s="22">
        <v>-52.213999999999999</v>
      </c>
      <c r="L18" s="22">
        <v>-77.710999999999999</v>
      </c>
      <c r="M18" s="22">
        <v>-17.699000000000002</v>
      </c>
    </row>
    <row r="19" spans="1:13" ht="14.95" customHeight="1" outlineLevel="1" x14ac:dyDescent="0.2">
      <c r="A19" s="4" t="s">
        <v>171</v>
      </c>
      <c r="B19" s="15">
        <v>278.33300000000003</v>
      </c>
      <c r="C19" s="15">
        <v>308.488</v>
      </c>
      <c r="D19" s="15">
        <v>639.76199999999994</v>
      </c>
      <c r="E19" s="15">
        <v>763.30100000000004</v>
      </c>
      <c r="F19" s="15">
        <v>194.93600000000001</v>
      </c>
      <c r="G19" s="15">
        <v>205.374</v>
      </c>
      <c r="H19" s="15">
        <v>187.73400000000001</v>
      </c>
      <c r="I19" s="15">
        <v>410.26799999999997</v>
      </c>
      <c r="J19" s="15">
        <v>80.828000000000003</v>
      </c>
      <c r="K19" s="15">
        <v>50.847999999999999</v>
      </c>
      <c r="L19" s="15">
        <v>33.003999999999998</v>
      </c>
      <c r="M19" s="26">
        <v>-34.709000000000003</v>
      </c>
    </row>
    <row r="20" spans="1:13" ht="14.95" customHeight="1" outlineLevel="1" x14ac:dyDescent="0.2">
      <c r="A20" s="5" t="s">
        <v>199</v>
      </c>
      <c r="B20" s="11">
        <v>3762.817</v>
      </c>
      <c r="C20" s="11">
        <v>5463.2240000000002</v>
      </c>
      <c r="D20" s="11">
        <v>5359.067</v>
      </c>
      <c r="E20" s="11">
        <v>2821.4349999999999</v>
      </c>
      <c r="F20" s="11">
        <v>2112.672</v>
      </c>
      <c r="G20" s="11">
        <v>2288.3829999999998</v>
      </c>
      <c r="H20" s="11">
        <v>1763.4010000000001</v>
      </c>
      <c r="I20" s="11">
        <v>895.71699999999998</v>
      </c>
      <c r="J20" s="11">
        <v>1160.4059999999999</v>
      </c>
      <c r="K20" s="11">
        <v>917.75199999999995</v>
      </c>
      <c r="L20" s="11">
        <v>726.58299999999997</v>
      </c>
      <c r="M20" s="11">
        <v>731.495</v>
      </c>
    </row>
    <row r="21" spans="1:13" ht="14.95" customHeight="1" outlineLevel="1" x14ac:dyDescent="0.25">
      <c r="A21" s="8" t="s">
        <v>198</v>
      </c>
      <c r="B21" s="3">
        <v>226.18899999999999</v>
      </c>
      <c r="C21" s="3">
        <v>-645.59</v>
      </c>
      <c r="D21" s="3">
        <v>-883.66499999999996</v>
      </c>
      <c r="E21" s="3">
        <v>-86.366</v>
      </c>
      <c r="F21" s="3">
        <v>-104.185</v>
      </c>
      <c r="G21" s="3">
        <v>-35.283000000000001</v>
      </c>
      <c r="H21" s="3">
        <v>678.96</v>
      </c>
      <c r="I21" s="3">
        <v>216.875</v>
      </c>
      <c r="J21" s="3">
        <v>120.489</v>
      </c>
      <c r="K21" s="3">
        <v>-9.9540000000000006</v>
      </c>
      <c r="L21" s="3">
        <v>145.01900000000001</v>
      </c>
      <c r="M21" s="3">
        <v>180.85</v>
      </c>
    </row>
    <row r="22" spans="1:13" ht="14.95" customHeight="1" outlineLevel="2" x14ac:dyDescent="0.2">
      <c r="A22" s="10" t="s">
        <v>197</v>
      </c>
      <c r="B22" s="23"/>
      <c r="C22" s="11">
        <v>330.72800000000001</v>
      </c>
      <c r="D22" s="22">
        <v>-343.90800000000002</v>
      </c>
      <c r="E22" s="22">
        <v>-114.504</v>
      </c>
      <c r="F22" s="22">
        <v>-101.626</v>
      </c>
      <c r="G22" s="11">
        <v>5.89</v>
      </c>
      <c r="H22" s="11">
        <v>45.978999999999999</v>
      </c>
      <c r="I22" s="22">
        <v>-65.668999999999997</v>
      </c>
      <c r="J22" s="22">
        <v>-9.3919999999999995</v>
      </c>
      <c r="K22" s="22">
        <v>-71.197999999999993</v>
      </c>
      <c r="L22" s="22">
        <v>-36.46</v>
      </c>
      <c r="M22" s="11">
        <v>12.377000000000001</v>
      </c>
    </row>
    <row r="23" spans="1:13" ht="14.95" customHeight="1" outlineLevel="2" x14ac:dyDescent="0.2">
      <c r="A23" s="9" t="s">
        <v>150</v>
      </c>
      <c r="B23" s="25"/>
      <c r="C23" s="26">
        <v>-242.29900000000001</v>
      </c>
      <c r="D23" s="26">
        <v>-470.72500000000002</v>
      </c>
      <c r="E23" s="26">
        <v>-65.114000000000004</v>
      </c>
      <c r="F23" s="15">
        <v>1.76</v>
      </c>
      <c r="G23" s="26">
        <v>-42.771000000000001</v>
      </c>
      <c r="H23" s="26">
        <v>-34.636000000000003</v>
      </c>
      <c r="I23" s="26">
        <v>-47.353999999999999</v>
      </c>
      <c r="J23" s="15">
        <v>38.220999999999997</v>
      </c>
      <c r="K23" s="26">
        <v>-35.557000000000002</v>
      </c>
      <c r="L23" s="15">
        <v>24.641999999999999</v>
      </c>
      <c r="M23" s="15">
        <v>28.527000000000001</v>
      </c>
    </row>
    <row r="24" spans="1:13" ht="14.95" customHeight="1" outlineLevel="2" x14ac:dyDescent="0.2">
      <c r="A24" s="10" t="s">
        <v>121</v>
      </c>
      <c r="B24" s="23"/>
      <c r="C24" s="22">
        <v>-499.31599999999997</v>
      </c>
      <c r="D24" s="11">
        <v>171.77199999999999</v>
      </c>
      <c r="E24" s="23"/>
      <c r="F24" s="23"/>
      <c r="G24" s="23"/>
      <c r="H24" s="23"/>
      <c r="I24" s="23"/>
      <c r="J24" s="23"/>
      <c r="K24" s="23"/>
      <c r="L24" s="23"/>
      <c r="M24" s="23"/>
    </row>
    <row r="25" spans="1:13" ht="14.95" customHeight="1" outlineLevel="2" x14ac:dyDescent="0.2">
      <c r="A25" s="9" t="s">
        <v>196</v>
      </c>
      <c r="B25" s="25"/>
      <c r="C25" s="26">
        <v>-263.71600000000001</v>
      </c>
      <c r="D25" s="26">
        <v>-91.852000000000004</v>
      </c>
      <c r="E25" s="26">
        <v>-6.7969999999999997</v>
      </c>
      <c r="F25" s="15">
        <v>29.440999999999999</v>
      </c>
      <c r="G25" s="15">
        <v>74.992999999999995</v>
      </c>
      <c r="H25" s="26">
        <v>-8.5060000000000002</v>
      </c>
      <c r="I25" s="15">
        <v>119.61799999999999</v>
      </c>
      <c r="J25" s="15">
        <v>9.9499999999999993</v>
      </c>
      <c r="K25" s="15">
        <v>25.06</v>
      </c>
      <c r="L25" s="15">
        <v>96.536000000000001</v>
      </c>
      <c r="M25" s="15">
        <v>50.704999999999998</v>
      </c>
    </row>
    <row r="26" spans="1:13" ht="14.95" customHeight="1" outlineLevel="2" x14ac:dyDescent="0.2">
      <c r="A26" s="10" t="s">
        <v>195</v>
      </c>
      <c r="B26" s="11">
        <v>900.79200000000003</v>
      </c>
      <c r="C26" s="11">
        <v>29.013000000000002</v>
      </c>
      <c r="D26" s="22">
        <v>-148.952</v>
      </c>
      <c r="E26" s="11">
        <v>100.04900000000001</v>
      </c>
      <c r="F26" s="22">
        <v>-33.76</v>
      </c>
      <c r="G26" s="22">
        <v>-73.394999999999996</v>
      </c>
      <c r="H26" s="11">
        <v>676.12300000000005</v>
      </c>
      <c r="I26" s="11">
        <v>210.28</v>
      </c>
      <c r="J26" s="11">
        <v>81.709999999999994</v>
      </c>
      <c r="K26" s="11">
        <v>71.741</v>
      </c>
      <c r="L26" s="11">
        <v>60.301000000000002</v>
      </c>
      <c r="M26" s="11">
        <v>89.241</v>
      </c>
    </row>
    <row r="27" spans="1:13" ht="14.95" customHeight="1" outlineLevel="1" x14ac:dyDescent="0.2">
      <c r="A27" s="4" t="s">
        <v>194</v>
      </c>
      <c r="B27" s="15">
        <v>3989.0059999999999</v>
      </c>
      <c r="C27" s="15">
        <v>4817.634</v>
      </c>
      <c r="D27" s="15">
        <v>4475.402</v>
      </c>
      <c r="E27" s="15">
        <v>2735.069</v>
      </c>
      <c r="F27" s="15">
        <v>2008.4870000000001</v>
      </c>
      <c r="G27" s="15">
        <v>2253.1</v>
      </c>
      <c r="H27" s="15">
        <v>2442.3609999999999</v>
      </c>
      <c r="I27" s="15">
        <v>1112.5920000000001</v>
      </c>
      <c r="J27" s="15">
        <v>1280.895</v>
      </c>
      <c r="K27" s="15">
        <v>907.798</v>
      </c>
      <c r="L27" s="15">
        <v>871.60199999999998</v>
      </c>
      <c r="M27" s="15">
        <v>912.34500000000003</v>
      </c>
    </row>
    <row r="28" spans="1:13" ht="14.95" customHeight="1" x14ac:dyDescent="0.25">
      <c r="A28" s="16" t="s">
        <v>193</v>
      </c>
      <c r="B28" s="16"/>
      <c r="C28" s="16"/>
      <c r="D28" s="16"/>
      <c r="E28" s="16"/>
      <c r="F28" s="16"/>
      <c r="G28" s="16"/>
      <c r="H28" s="16"/>
      <c r="I28" s="16"/>
      <c r="J28" s="16"/>
      <c r="K28" s="16"/>
      <c r="L28" s="16"/>
      <c r="M28" s="16"/>
    </row>
    <row r="29" spans="1:13" ht="14.95" customHeight="1" outlineLevel="1" collapsed="1" x14ac:dyDescent="0.25">
      <c r="A29" s="8" t="s">
        <v>192</v>
      </c>
      <c r="B29" s="37">
        <v>-1041.4459999999999</v>
      </c>
      <c r="C29" s="37">
        <v>-1261.463</v>
      </c>
      <c r="D29" s="37">
        <v>-699.30799999999999</v>
      </c>
      <c r="E29" s="37">
        <v>-347.91399999999999</v>
      </c>
      <c r="F29" s="37">
        <v>-166.327</v>
      </c>
      <c r="G29" s="37">
        <v>-282.01600000000002</v>
      </c>
      <c r="H29" s="37">
        <v>-261.15899999999999</v>
      </c>
      <c r="I29" s="37">
        <v>-219.94</v>
      </c>
      <c r="J29" s="37">
        <v>-145.917</v>
      </c>
      <c r="K29" s="37">
        <v>-162.23500000000001</v>
      </c>
      <c r="L29" s="37">
        <v>-189.96799999999999</v>
      </c>
      <c r="M29" s="37">
        <v>-128.73099999999999</v>
      </c>
    </row>
    <row r="30" spans="1:13" ht="14.95" hidden="1" customHeight="1" outlineLevel="2" x14ac:dyDescent="0.2">
      <c r="A30" s="10" t="s">
        <v>191</v>
      </c>
      <c r="B30" s="38">
        <v>-1041.4459999999999</v>
      </c>
      <c r="C30" s="38">
        <v>-1261.463</v>
      </c>
      <c r="D30" s="38">
        <v>-699.30799999999999</v>
      </c>
      <c r="E30" s="38">
        <v>-343.67599999999999</v>
      </c>
      <c r="F30" s="38">
        <v>-165.69200000000001</v>
      </c>
      <c r="G30" s="38">
        <v>-275.37200000000001</v>
      </c>
      <c r="H30" s="38">
        <v>-254.876</v>
      </c>
      <c r="I30" s="38">
        <v>-204.09800000000001</v>
      </c>
      <c r="J30" s="38">
        <v>-127.39700000000001</v>
      </c>
      <c r="K30" s="38">
        <v>-153.96</v>
      </c>
      <c r="L30" s="38">
        <v>-177.91300000000001</v>
      </c>
      <c r="M30" s="38">
        <v>-123.074</v>
      </c>
    </row>
    <row r="31" spans="1:13" ht="14.95" hidden="1" customHeight="1" outlineLevel="2" x14ac:dyDescent="0.2">
      <c r="A31" s="9" t="s">
        <v>190</v>
      </c>
      <c r="B31" s="30">
        <v>0</v>
      </c>
      <c r="C31" s="30">
        <v>0</v>
      </c>
      <c r="D31" s="30">
        <v>0</v>
      </c>
      <c r="E31" s="36">
        <v>-4.2380000000000004</v>
      </c>
      <c r="F31" s="36">
        <v>-0.63500000000000001</v>
      </c>
      <c r="G31" s="36">
        <v>-6.6440000000000001</v>
      </c>
      <c r="H31" s="36">
        <v>-6.2830000000000004</v>
      </c>
      <c r="I31" s="36">
        <v>-15.842000000000001</v>
      </c>
      <c r="J31" s="36">
        <v>-18.52</v>
      </c>
      <c r="K31" s="36">
        <v>-8.2750000000000004</v>
      </c>
      <c r="L31" s="36">
        <v>-12.055</v>
      </c>
      <c r="M31" s="36">
        <v>-5.657</v>
      </c>
    </row>
    <row r="32" spans="1:13" ht="14.95" customHeight="1" outlineLevel="1" x14ac:dyDescent="0.2">
      <c r="A32" s="5" t="s">
        <v>189</v>
      </c>
      <c r="B32" s="31">
        <v>0</v>
      </c>
      <c r="C32" s="31">
        <v>0</v>
      </c>
      <c r="D32" s="31">
        <v>0</v>
      </c>
      <c r="E32" s="38">
        <v>-24.95</v>
      </c>
      <c r="F32" s="38">
        <v>-14.196</v>
      </c>
      <c r="G32" s="38">
        <v>-11.17</v>
      </c>
      <c r="H32" s="38">
        <v>-52.838999999999999</v>
      </c>
      <c r="I32" s="38">
        <v>-9632.5679999999993</v>
      </c>
      <c r="J32" s="38">
        <v>-83.17</v>
      </c>
      <c r="K32" s="38">
        <v>-7.0650000000000004</v>
      </c>
      <c r="L32" s="38">
        <v>-1945.8869999999999</v>
      </c>
      <c r="M32" s="38">
        <v>-2.4750000000000001</v>
      </c>
    </row>
    <row r="33" spans="1:13" ht="14.95" customHeight="1" outlineLevel="1" x14ac:dyDescent="0.2">
      <c r="A33" s="4" t="s">
        <v>188</v>
      </c>
      <c r="B33" s="30">
        <v>0</v>
      </c>
      <c r="C33" s="30">
        <v>0</v>
      </c>
      <c r="D33" s="30">
        <v>0</v>
      </c>
      <c r="E33" s="30">
        <v>2486.2640000000001</v>
      </c>
      <c r="F33" s="30">
        <v>0</v>
      </c>
      <c r="G33" s="25"/>
      <c r="H33" s="25"/>
      <c r="I33" s="25"/>
      <c r="J33" s="25"/>
      <c r="K33" s="30">
        <v>0</v>
      </c>
      <c r="L33" s="30">
        <v>0</v>
      </c>
      <c r="M33" s="30">
        <v>100</v>
      </c>
    </row>
    <row r="34" spans="1:13" ht="14.95" customHeight="1" outlineLevel="1" x14ac:dyDescent="0.25">
      <c r="A34" s="21" t="s">
        <v>187</v>
      </c>
      <c r="B34" s="29">
        <v>-438.90100000000001</v>
      </c>
      <c r="C34" s="29">
        <v>0</v>
      </c>
      <c r="D34" s="29">
        <v>0</v>
      </c>
      <c r="E34" s="29">
        <v>30.125</v>
      </c>
      <c r="F34" s="29">
        <v>0</v>
      </c>
      <c r="G34" s="29">
        <v>0</v>
      </c>
      <c r="H34" s="29">
        <v>0</v>
      </c>
      <c r="I34" s="29">
        <v>3234.4940000000001</v>
      </c>
      <c r="J34" s="29">
        <v>-989.18299999999999</v>
      </c>
      <c r="K34" s="29">
        <v>152.17500000000001</v>
      </c>
      <c r="L34" s="29">
        <v>2021.104</v>
      </c>
      <c r="M34" s="29">
        <v>-918.72</v>
      </c>
    </row>
    <row r="35" spans="1:13" ht="14.95" customHeight="1" outlineLevel="2" x14ac:dyDescent="0.2">
      <c r="A35" s="9" t="s">
        <v>186</v>
      </c>
      <c r="B35" s="30">
        <v>438.90100000000001</v>
      </c>
      <c r="C35" s="30">
        <v>0</v>
      </c>
      <c r="D35" s="30">
        <v>0</v>
      </c>
      <c r="E35" s="30">
        <v>0</v>
      </c>
      <c r="F35" s="30">
        <v>0</v>
      </c>
      <c r="G35" s="30">
        <v>0</v>
      </c>
      <c r="H35" s="30">
        <v>0</v>
      </c>
      <c r="I35" s="30">
        <v>705.48500000000001</v>
      </c>
      <c r="J35" s="30">
        <v>7697.26</v>
      </c>
      <c r="K35" s="30">
        <v>6083.9989999999998</v>
      </c>
      <c r="L35" s="30">
        <v>7485.1620000000003</v>
      </c>
      <c r="M35" s="30">
        <v>8540.3349999999991</v>
      </c>
    </row>
    <row r="36" spans="1:13" ht="14.95" customHeight="1" outlineLevel="2" x14ac:dyDescent="0.2">
      <c r="A36" s="10" t="s">
        <v>185</v>
      </c>
      <c r="B36" s="31">
        <v>0</v>
      </c>
      <c r="C36" s="31">
        <v>0</v>
      </c>
      <c r="D36" s="31">
        <v>0</v>
      </c>
      <c r="E36" s="31">
        <v>30.125</v>
      </c>
      <c r="F36" s="31">
        <v>0</v>
      </c>
      <c r="G36" s="31">
        <v>0</v>
      </c>
      <c r="H36" s="31">
        <v>0</v>
      </c>
      <c r="I36" s="31">
        <v>3939.9789999999998</v>
      </c>
      <c r="J36" s="31">
        <v>6708.0770000000002</v>
      </c>
      <c r="K36" s="31">
        <v>6236.174</v>
      </c>
      <c r="L36" s="31">
        <v>9506.2659999999996</v>
      </c>
      <c r="M36" s="31">
        <v>7621.6149999999998</v>
      </c>
    </row>
    <row r="37" spans="1:13" ht="14.95" customHeight="1" outlineLevel="1" x14ac:dyDescent="0.25">
      <c r="A37" s="8" t="s">
        <v>171</v>
      </c>
      <c r="B37" s="37">
        <v>8.0419999999999998</v>
      </c>
      <c r="C37" s="37">
        <v>-4.9219999999999997</v>
      </c>
      <c r="D37" s="37">
        <v>41.94</v>
      </c>
      <c r="E37" s="37">
        <v>0</v>
      </c>
      <c r="F37" s="37">
        <v>0</v>
      </c>
      <c r="G37" s="37">
        <v>0</v>
      </c>
      <c r="H37" s="37">
        <v>0</v>
      </c>
      <c r="I37" s="37">
        <v>0</v>
      </c>
      <c r="J37" s="37">
        <v>0</v>
      </c>
      <c r="K37" s="37">
        <v>0</v>
      </c>
      <c r="L37" s="37">
        <v>0</v>
      </c>
      <c r="M37" s="37">
        <v>0</v>
      </c>
    </row>
    <row r="38" spans="1:13" ht="14.95" customHeight="1" outlineLevel="2" x14ac:dyDescent="0.2">
      <c r="A38" s="10" t="s">
        <v>170</v>
      </c>
      <c r="B38" s="38">
        <v>-2.6680000000000001</v>
      </c>
      <c r="C38" s="38">
        <v>-4.9219999999999997</v>
      </c>
      <c r="D38" s="31">
        <v>0</v>
      </c>
      <c r="E38" s="31">
        <v>0</v>
      </c>
      <c r="F38" s="31">
        <v>0</v>
      </c>
      <c r="G38" s="31">
        <v>0</v>
      </c>
      <c r="H38" s="31">
        <v>0</v>
      </c>
      <c r="I38" s="31">
        <v>0</v>
      </c>
      <c r="J38" s="31">
        <v>0</v>
      </c>
      <c r="K38" s="31">
        <v>0</v>
      </c>
      <c r="L38" s="31">
        <v>0</v>
      </c>
      <c r="M38" s="31">
        <v>0</v>
      </c>
    </row>
    <row r="39" spans="1:13" ht="14.95" customHeight="1" outlineLevel="2" x14ac:dyDescent="0.2">
      <c r="A39" s="9" t="s">
        <v>169</v>
      </c>
      <c r="B39" s="30">
        <v>10.71</v>
      </c>
      <c r="C39" s="30">
        <v>0</v>
      </c>
      <c r="D39" s="30">
        <v>41.94</v>
      </c>
      <c r="E39" s="30">
        <v>0</v>
      </c>
      <c r="F39" s="30">
        <v>0</v>
      </c>
      <c r="G39" s="25"/>
      <c r="H39" s="25"/>
      <c r="I39" s="25"/>
      <c r="J39" s="25"/>
      <c r="K39" s="25"/>
      <c r="L39" s="25"/>
      <c r="M39" s="25"/>
    </row>
    <row r="40" spans="1:13" ht="14.95" customHeight="1" outlineLevel="1" x14ac:dyDescent="0.2">
      <c r="A40" s="5" t="s">
        <v>184</v>
      </c>
      <c r="B40" s="38">
        <v>-1472.3050000000001</v>
      </c>
      <c r="C40" s="38">
        <v>-1266.385</v>
      </c>
      <c r="D40" s="38">
        <v>-657.36800000000005</v>
      </c>
      <c r="E40" s="31">
        <v>2143.5250000000001</v>
      </c>
      <c r="F40" s="38">
        <v>-180.523</v>
      </c>
      <c r="G40" s="38">
        <v>-293.18599999999998</v>
      </c>
      <c r="H40" s="38">
        <v>-313.99799999999999</v>
      </c>
      <c r="I40" s="38">
        <v>-6618.0140000000001</v>
      </c>
      <c r="J40" s="38">
        <v>-1218.27</v>
      </c>
      <c r="K40" s="38">
        <v>-17.125</v>
      </c>
      <c r="L40" s="38">
        <v>-114.751</v>
      </c>
      <c r="M40" s="38">
        <v>-949.92600000000004</v>
      </c>
    </row>
    <row r="41" spans="1:13" ht="14.95" customHeight="1" x14ac:dyDescent="0.25">
      <c r="A41" s="2" t="s">
        <v>183</v>
      </c>
      <c r="B41" s="2"/>
      <c r="C41" s="2"/>
      <c r="D41" s="2"/>
      <c r="E41" s="2"/>
      <c r="F41" s="2"/>
      <c r="G41" s="2"/>
      <c r="H41" s="2"/>
      <c r="I41" s="2"/>
      <c r="J41" s="2"/>
      <c r="K41" s="2"/>
      <c r="L41" s="2"/>
      <c r="M41" s="2"/>
    </row>
    <row r="42" spans="1:13" ht="14.95" customHeight="1" outlineLevel="1" x14ac:dyDescent="0.25">
      <c r="A42" s="21" t="s">
        <v>182</v>
      </c>
      <c r="B42" s="17">
        <v>-1766.6880000000001</v>
      </c>
      <c r="C42" s="17">
        <v>-1679.106</v>
      </c>
      <c r="D42" s="17">
        <v>-1544.5519999999999</v>
      </c>
      <c r="E42" s="17">
        <v>-1109.3440000000001</v>
      </c>
      <c r="F42" s="17">
        <v>-886.15499999999997</v>
      </c>
      <c r="G42" s="17">
        <v>-777.48099999999999</v>
      </c>
      <c r="H42" s="17">
        <v>-703.30700000000002</v>
      </c>
      <c r="I42" s="17">
        <v>-602.11900000000003</v>
      </c>
      <c r="J42" s="17">
        <v>-513.17999999999995</v>
      </c>
      <c r="K42" s="17">
        <v>-491.05900000000003</v>
      </c>
      <c r="L42" s="17">
        <v>-454.22500000000002</v>
      </c>
      <c r="M42" s="17">
        <v>-405.95499999999998</v>
      </c>
    </row>
    <row r="43" spans="1:13" ht="14.95" customHeight="1" outlineLevel="2" x14ac:dyDescent="0.2">
      <c r="A43" s="9" t="s">
        <v>181</v>
      </c>
      <c r="B43" s="26">
        <v>-1766.6880000000001</v>
      </c>
      <c r="C43" s="26">
        <v>-1679.106</v>
      </c>
      <c r="D43" s="26">
        <v>-1544.5519999999999</v>
      </c>
      <c r="E43" s="26">
        <v>-1109.3440000000001</v>
      </c>
      <c r="F43" s="26">
        <v>-886.15499999999997</v>
      </c>
      <c r="G43" s="26">
        <v>-777.48099999999999</v>
      </c>
      <c r="H43" s="26">
        <v>-703.30700000000002</v>
      </c>
      <c r="I43" s="26">
        <v>-602.11900000000003</v>
      </c>
      <c r="J43" s="26">
        <v>-513.17999999999995</v>
      </c>
      <c r="K43" s="26">
        <v>-491.05900000000003</v>
      </c>
      <c r="L43" s="26">
        <v>-454.22500000000002</v>
      </c>
      <c r="M43" s="26">
        <v>-405.95499999999998</v>
      </c>
    </row>
    <row r="44" spans="1:13" ht="14.95" customHeight="1" outlineLevel="1" x14ac:dyDescent="0.25">
      <c r="A44" s="21" t="s">
        <v>180</v>
      </c>
      <c r="B44" s="17">
        <v>-868.68799999999999</v>
      </c>
      <c r="C44" s="17">
        <v>-2845.3470000000002</v>
      </c>
      <c r="D44" s="17">
        <v>-2543.1280000000002</v>
      </c>
      <c r="E44" s="17">
        <v>-2542.0390000000002</v>
      </c>
      <c r="F44" s="17">
        <v>-176.084</v>
      </c>
      <c r="G44" s="17">
        <v>-496.48200000000003</v>
      </c>
      <c r="H44" s="17">
        <v>-126.95</v>
      </c>
      <c r="I44" s="17">
        <v>86.769000000000005</v>
      </c>
      <c r="J44" s="17">
        <v>-308.565</v>
      </c>
      <c r="K44" s="17">
        <v>-104.322</v>
      </c>
      <c r="L44" s="17">
        <v>-156.232</v>
      </c>
      <c r="M44" s="17">
        <v>245.74799999999999</v>
      </c>
    </row>
    <row r="45" spans="1:13" ht="14.95" customHeight="1" outlineLevel="2" x14ac:dyDescent="0.2">
      <c r="A45" s="9" t="s">
        <v>179</v>
      </c>
      <c r="B45" s="26">
        <v>-990.649</v>
      </c>
      <c r="C45" s="26">
        <v>-2963.9549999999999</v>
      </c>
      <c r="D45" s="26">
        <v>-2577.0149999999999</v>
      </c>
      <c r="E45" s="26">
        <v>-2605.1439999999998</v>
      </c>
      <c r="F45" s="26">
        <v>-244.48699999999999</v>
      </c>
      <c r="G45" s="26">
        <v>-613.005</v>
      </c>
      <c r="H45" s="26">
        <v>-225.977</v>
      </c>
      <c r="I45" s="26">
        <v>-46.533000000000001</v>
      </c>
      <c r="J45" s="26">
        <v>-370.06099999999998</v>
      </c>
      <c r="K45" s="26">
        <v>-226.953</v>
      </c>
      <c r="L45" s="26">
        <v>-356.346</v>
      </c>
      <c r="M45" s="26">
        <v>-60.529000000000003</v>
      </c>
    </row>
    <row r="46" spans="1:13" ht="14.95" customHeight="1" outlineLevel="2" x14ac:dyDescent="0.25">
      <c r="A46" s="24" t="s">
        <v>178</v>
      </c>
      <c r="B46" s="17">
        <v>121.961</v>
      </c>
      <c r="C46" s="17">
        <v>118.608</v>
      </c>
      <c r="D46" s="17">
        <v>33.887</v>
      </c>
      <c r="E46" s="17">
        <v>63.104999999999997</v>
      </c>
      <c r="F46" s="17">
        <v>68.403000000000006</v>
      </c>
      <c r="G46" s="17">
        <v>116.523</v>
      </c>
      <c r="H46" s="17">
        <v>99.027000000000001</v>
      </c>
      <c r="I46" s="17">
        <v>133.30199999999999</v>
      </c>
      <c r="J46" s="17">
        <v>61.496000000000002</v>
      </c>
      <c r="K46" s="17">
        <v>122.631</v>
      </c>
      <c r="L46" s="17">
        <v>200.114</v>
      </c>
      <c r="M46" s="17">
        <v>306.27699999999999</v>
      </c>
    </row>
    <row r="47" spans="1:13" ht="14.95" customHeight="1" outlineLevel="3" x14ac:dyDescent="0.2">
      <c r="A47" s="13" t="s">
        <v>177</v>
      </c>
      <c r="B47" s="15">
        <v>121.961</v>
      </c>
      <c r="C47" s="15">
        <v>118.608</v>
      </c>
      <c r="D47" s="15">
        <v>33.887</v>
      </c>
      <c r="E47" s="15">
        <v>63.104999999999997</v>
      </c>
      <c r="F47" s="15">
        <v>68.403000000000006</v>
      </c>
      <c r="G47" s="15">
        <v>116.523</v>
      </c>
      <c r="H47" s="15">
        <v>99.027000000000001</v>
      </c>
      <c r="I47" s="15">
        <v>133.30199999999999</v>
      </c>
      <c r="J47" s="15">
        <v>61.496000000000002</v>
      </c>
      <c r="K47" s="15">
        <v>122.631</v>
      </c>
      <c r="L47" s="15">
        <v>200.114</v>
      </c>
      <c r="M47" s="15">
        <v>306.27699999999999</v>
      </c>
    </row>
    <row r="48" spans="1:13" ht="14.95" customHeight="1" outlineLevel="1" x14ac:dyDescent="0.25">
      <c r="A48" s="21" t="s">
        <v>176</v>
      </c>
      <c r="B48" s="17">
        <v>1090.5889999999999</v>
      </c>
      <c r="C48" s="17">
        <v>481.536</v>
      </c>
      <c r="D48" s="17">
        <v>-222.98599999999999</v>
      </c>
      <c r="E48" s="17">
        <v>347.65800000000002</v>
      </c>
      <c r="F48" s="17">
        <v>-354.35399999999998</v>
      </c>
      <c r="G48" s="17">
        <v>-850</v>
      </c>
      <c r="H48" s="17">
        <v>-1531.222</v>
      </c>
      <c r="I48" s="17">
        <v>6100.5389999999998</v>
      </c>
      <c r="J48" s="17">
        <v>830.59199999999998</v>
      </c>
      <c r="K48" s="17">
        <v>0</v>
      </c>
      <c r="L48" s="17">
        <v>0</v>
      </c>
      <c r="M48" s="17">
        <v>40.981999999999999</v>
      </c>
    </row>
    <row r="49" spans="1:13" ht="14.95" customHeight="1" outlineLevel="2" x14ac:dyDescent="0.2">
      <c r="A49" s="9" t="s">
        <v>175</v>
      </c>
      <c r="B49" s="15">
        <v>2.7330000000000001</v>
      </c>
      <c r="C49" s="15">
        <v>547.22400000000005</v>
      </c>
      <c r="D49" s="15">
        <v>0</v>
      </c>
      <c r="E49" s="15">
        <v>0</v>
      </c>
      <c r="F49" s="15">
        <v>0</v>
      </c>
      <c r="G49" s="15">
        <v>0</v>
      </c>
      <c r="H49" s="15">
        <v>0</v>
      </c>
      <c r="I49" s="15">
        <v>0</v>
      </c>
      <c r="J49" s="15">
        <v>0</v>
      </c>
      <c r="K49" s="15">
        <v>0</v>
      </c>
      <c r="L49" s="15">
        <v>0</v>
      </c>
      <c r="M49" s="15">
        <v>0</v>
      </c>
    </row>
    <row r="50" spans="1:13" ht="14.95" customHeight="1" outlineLevel="2" x14ac:dyDescent="0.25">
      <c r="A50" s="24" t="s">
        <v>174</v>
      </c>
      <c r="B50" s="17">
        <v>1087.856</v>
      </c>
      <c r="C50" s="17">
        <v>-65.688000000000002</v>
      </c>
      <c r="D50" s="17">
        <v>-222.98599999999999</v>
      </c>
      <c r="E50" s="17">
        <v>347.65800000000002</v>
      </c>
      <c r="F50" s="17">
        <v>-354.35399999999998</v>
      </c>
      <c r="G50" s="17">
        <v>-850</v>
      </c>
      <c r="H50" s="17">
        <v>-1531.222</v>
      </c>
      <c r="I50" s="17">
        <v>6100.5389999999998</v>
      </c>
      <c r="J50" s="17">
        <v>830.59199999999998</v>
      </c>
      <c r="K50" s="17">
        <v>0</v>
      </c>
      <c r="L50" s="17">
        <v>0</v>
      </c>
      <c r="M50" s="17">
        <v>40.981999999999999</v>
      </c>
    </row>
    <row r="51" spans="1:13" ht="14.95" customHeight="1" outlineLevel="3" x14ac:dyDescent="0.2">
      <c r="A51" s="13" t="s">
        <v>173</v>
      </c>
      <c r="B51" s="15">
        <v>1087.856</v>
      </c>
      <c r="C51" s="15">
        <v>0</v>
      </c>
      <c r="D51" s="15">
        <v>696.13</v>
      </c>
      <c r="E51" s="15">
        <v>4339.6400000000003</v>
      </c>
      <c r="F51" s="15">
        <v>745.64599999999996</v>
      </c>
      <c r="G51" s="15">
        <v>1250</v>
      </c>
      <c r="H51" s="15">
        <v>743.77800000000002</v>
      </c>
      <c r="I51" s="15">
        <v>11150.539000000001</v>
      </c>
      <c r="J51" s="15">
        <v>1208.748</v>
      </c>
      <c r="K51" s="15">
        <v>0</v>
      </c>
      <c r="L51" s="15">
        <v>1995.3979999999999</v>
      </c>
      <c r="M51" s="15">
        <v>493.88</v>
      </c>
    </row>
    <row r="52" spans="1:13" ht="14.95" customHeight="1" outlineLevel="3" x14ac:dyDescent="0.2">
      <c r="A52" s="14" t="s">
        <v>172</v>
      </c>
      <c r="B52" s="11">
        <v>0</v>
      </c>
      <c r="C52" s="22">
        <v>-65.688000000000002</v>
      </c>
      <c r="D52" s="22">
        <v>-919.11599999999999</v>
      </c>
      <c r="E52" s="22">
        <v>-3991.982</v>
      </c>
      <c r="F52" s="22">
        <v>-1100</v>
      </c>
      <c r="G52" s="22">
        <v>-2100</v>
      </c>
      <c r="H52" s="22">
        <v>-2275</v>
      </c>
      <c r="I52" s="22">
        <v>-5050</v>
      </c>
      <c r="J52" s="22">
        <v>-378.15600000000001</v>
      </c>
      <c r="K52" s="11">
        <v>0</v>
      </c>
      <c r="L52" s="22">
        <v>-1995.3979999999999</v>
      </c>
      <c r="M52" s="22">
        <v>-452.89800000000002</v>
      </c>
    </row>
    <row r="53" spans="1:13" ht="14.95" customHeight="1" outlineLevel="1" x14ac:dyDescent="0.25">
      <c r="A53" s="8" t="s">
        <v>171</v>
      </c>
      <c r="B53" s="3">
        <v>-15.128</v>
      </c>
      <c r="C53" s="3">
        <v>-20.843</v>
      </c>
      <c r="D53" s="3">
        <v>19.946000000000002</v>
      </c>
      <c r="E53" s="3">
        <v>-655.93899999999996</v>
      </c>
      <c r="F53" s="3">
        <v>-4.0149999999999997</v>
      </c>
      <c r="G53" s="3">
        <v>-2.831</v>
      </c>
      <c r="H53" s="3">
        <v>3.4369999999999998</v>
      </c>
      <c r="I53" s="3">
        <v>43.389000000000003</v>
      </c>
      <c r="J53" s="3">
        <v>-31.763999999999999</v>
      </c>
      <c r="K53" s="3">
        <v>23.777999999999999</v>
      </c>
      <c r="L53" s="3">
        <v>33.847000000000001</v>
      </c>
      <c r="M53" s="3">
        <v>18.667999999999999</v>
      </c>
    </row>
    <row r="54" spans="1:13" ht="14.95" customHeight="1" outlineLevel="2" x14ac:dyDescent="0.2">
      <c r="A54" s="10" t="s">
        <v>170</v>
      </c>
      <c r="B54" s="22">
        <v>-15.128</v>
      </c>
      <c r="C54" s="22">
        <v>-20.843</v>
      </c>
      <c r="D54" s="11">
        <v>0</v>
      </c>
      <c r="E54" s="22">
        <v>-655.93899999999996</v>
      </c>
      <c r="F54" s="22">
        <v>-4.0149999999999997</v>
      </c>
      <c r="G54" s="22">
        <v>-2.831</v>
      </c>
      <c r="H54" s="11">
        <v>0</v>
      </c>
      <c r="I54" s="22">
        <v>-2.2879999999999998</v>
      </c>
      <c r="J54" s="22">
        <v>-42.216999999999999</v>
      </c>
      <c r="K54" s="22">
        <v>-1.7669999999999999</v>
      </c>
      <c r="L54" s="22">
        <v>-3.5760000000000001</v>
      </c>
      <c r="M54" s="22">
        <v>-8.4550000000000001</v>
      </c>
    </row>
    <row r="55" spans="1:13" ht="14.95" customHeight="1" outlineLevel="2" x14ac:dyDescent="0.2">
      <c r="A55" s="9" t="s">
        <v>169</v>
      </c>
      <c r="B55" s="15">
        <v>0</v>
      </c>
      <c r="C55" s="15">
        <v>0</v>
      </c>
      <c r="D55" s="15">
        <v>19.946000000000002</v>
      </c>
      <c r="E55" s="15">
        <v>0</v>
      </c>
      <c r="F55" s="15">
        <v>0</v>
      </c>
      <c r="G55" s="15">
        <v>0</v>
      </c>
      <c r="H55" s="15">
        <v>3.4369999999999998</v>
      </c>
      <c r="I55" s="15">
        <v>45.677</v>
      </c>
      <c r="J55" s="15">
        <v>10.452999999999999</v>
      </c>
      <c r="K55" s="15">
        <v>25.545000000000002</v>
      </c>
      <c r="L55" s="15">
        <v>37.423000000000002</v>
      </c>
      <c r="M55" s="15">
        <v>27.123000000000001</v>
      </c>
    </row>
    <row r="56" spans="1:13" ht="14.95" customHeight="1" outlineLevel="1" x14ac:dyDescent="0.2">
      <c r="A56" s="5" t="s">
        <v>168</v>
      </c>
      <c r="B56" s="22">
        <v>-1559.915</v>
      </c>
      <c r="C56" s="22">
        <v>-4063.76</v>
      </c>
      <c r="D56" s="22">
        <v>-4290.72</v>
      </c>
      <c r="E56" s="22">
        <v>-3959.6640000000002</v>
      </c>
      <c r="F56" s="22">
        <v>-1420.6079999999999</v>
      </c>
      <c r="G56" s="22">
        <v>-2126.7939999999999</v>
      </c>
      <c r="H56" s="22">
        <v>-2358.0419999999999</v>
      </c>
      <c r="I56" s="11">
        <v>5628.5780000000004</v>
      </c>
      <c r="J56" s="22">
        <v>-22.917000000000002</v>
      </c>
      <c r="K56" s="22">
        <v>-571.60299999999995</v>
      </c>
      <c r="L56" s="22">
        <v>-576.61</v>
      </c>
      <c r="M56" s="22">
        <v>-100.557</v>
      </c>
    </row>
    <row r="57" spans="1:13" ht="14.95" customHeight="1" x14ac:dyDescent="0.25">
      <c r="A57" s="2" t="s">
        <v>167</v>
      </c>
      <c r="B57" s="2"/>
      <c r="C57" s="2"/>
      <c r="D57" s="2"/>
      <c r="E57" s="2"/>
      <c r="F57" s="2"/>
      <c r="G57" s="2"/>
      <c r="H57" s="2"/>
      <c r="I57" s="2"/>
      <c r="J57" s="2"/>
      <c r="K57" s="2"/>
      <c r="L57" s="2"/>
      <c r="M57" s="2"/>
    </row>
    <row r="58" spans="1:13" ht="14.95" customHeight="1" outlineLevel="1" x14ac:dyDescent="0.2">
      <c r="A58" s="5" t="s">
        <v>166</v>
      </c>
      <c r="B58" s="23"/>
      <c r="C58" s="11">
        <v>0</v>
      </c>
      <c r="D58" s="22">
        <v>-34.706000000000003</v>
      </c>
      <c r="E58" s="11">
        <v>3.1739999999999999</v>
      </c>
      <c r="F58" s="11">
        <v>0.182</v>
      </c>
      <c r="G58" s="22">
        <v>-1.389</v>
      </c>
      <c r="H58" s="22">
        <v>-1.5680000000000001</v>
      </c>
      <c r="I58" s="11">
        <v>3.55</v>
      </c>
      <c r="J58" s="22">
        <v>-2.9289999999999998</v>
      </c>
      <c r="K58" s="22">
        <v>-3.95</v>
      </c>
      <c r="L58" s="22">
        <v>-3.097</v>
      </c>
      <c r="M58" s="11">
        <v>1.3939999999999999</v>
      </c>
    </row>
    <row r="59" spans="1:13" ht="14.95" customHeight="1" outlineLevel="1" x14ac:dyDescent="0.2">
      <c r="A59" s="4" t="s">
        <v>165</v>
      </c>
      <c r="B59" s="15">
        <v>956.78599999999994</v>
      </c>
      <c r="C59" s="26">
        <v>-512.51099999999997</v>
      </c>
      <c r="D59" s="26">
        <v>-507.392</v>
      </c>
      <c r="E59" s="15">
        <v>922.10400000000004</v>
      </c>
      <c r="F59" s="15">
        <v>407.53800000000001</v>
      </c>
      <c r="G59" s="26">
        <v>-168.26900000000001</v>
      </c>
      <c r="H59" s="26">
        <v>-231.24700000000001</v>
      </c>
      <c r="I59" s="15">
        <v>126.706</v>
      </c>
      <c r="J59" s="15">
        <v>36.779000000000003</v>
      </c>
      <c r="K59" s="15">
        <v>315.12</v>
      </c>
      <c r="L59" s="15">
        <v>177.14400000000001</v>
      </c>
      <c r="M59" s="26">
        <v>-136.744</v>
      </c>
    </row>
    <row r="60" spans="1:13" ht="14.95" customHeight="1" outlineLevel="1" x14ac:dyDescent="0.25">
      <c r="A60" s="21" t="s">
        <v>164</v>
      </c>
      <c r="B60" s="17">
        <v>2947.56</v>
      </c>
      <c r="C60" s="17">
        <v>3556.1709999999998</v>
      </c>
      <c r="D60" s="17">
        <v>3776.0940000000001</v>
      </c>
      <c r="E60" s="17">
        <v>2391.393</v>
      </c>
      <c r="F60" s="17">
        <v>1842.7950000000001</v>
      </c>
      <c r="G60" s="17">
        <v>1977.7280000000001</v>
      </c>
      <c r="H60" s="17">
        <v>2187.4850000000001</v>
      </c>
      <c r="I60" s="17">
        <v>908.49400000000003</v>
      </c>
      <c r="J60" s="17">
        <v>1153.498</v>
      </c>
      <c r="K60" s="17">
        <v>753.83799999999997</v>
      </c>
      <c r="L60" s="17">
        <v>693.68899999999996</v>
      </c>
      <c r="M60" s="17">
        <v>789.27099999999996</v>
      </c>
    </row>
    <row r="61" spans="1:13" ht="14.95" customHeight="1" outlineLevel="2" x14ac:dyDescent="0.2">
      <c r="A61" s="9" t="s">
        <v>163</v>
      </c>
      <c r="B61" s="15">
        <v>5.9093730000000004</v>
      </c>
      <c r="C61" s="15">
        <v>7.028575</v>
      </c>
      <c r="D61" s="15">
        <v>7.2176090000000004</v>
      </c>
      <c r="E61" s="15">
        <v>5.9592939999999999</v>
      </c>
      <c r="F61" s="15">
        <v>4.95411</v>
      </c>
      <c r="G61" s="15">
        <v>5.3040539999999998</v>
      </c>
      <c r="H61" s="15">
        <v>5.8342580000000002</v>
      </c>
      <c r="I61" s="15">
        <v>2.5921129999999999</v>
      </c>
      <c r="J61" s="15">
        <v>3.6934629999999999</v>
      </c>
      <c r="K61" s="15">
        <v>2.3789980000000002</v>
      </c>
      <c r="L61" s="15">
        <v>2.1812269999999998</v>
      </c>
      <c r="M61" s="15">
        <v>2.513274</v>
      </c>
    </row>
    <row r="62" spans="1:13" ht="14.95" customHeight="1" outlineLevel="2" x14ac:dyDescent="0.2">
      <c r="A62" s="10" t="s">
        <v>162</v>
      </c>
      <c r="B62" s="7">
        <v>2.8415910000000002</v>
      </c>
      <c r="C62" s="7">
        <v>4.3772659999999997</v>
      </c>
      <c r="D62" s="7">
        <v>4.9817840000000002</v>
      </c>
      <c r="E62" s="7">
        <v>3.434949</v>
      </c>
      <c r="F62" s="7">
        <v>4.1796249999999997</v>
      </c>
      <c r="G62" s="7">
        <v>4.8496430000000004</v>
      </c>
      <c r="H62" s="7">
        <v>6.6921980000000003</v>
      </c>
      <c r="I62" s="7">
        <v>2.841917</v>
      </c>
      <c r="J62" s="7">
        <v>5.8137299999999996</v>
      </c>
      <c r="K62" s="7">
        <v>3.9570829999999999</v>
      </c>
      <c r="L62" s="7">
        <v>4.3958620000000002</v>
      </c>
      <c r="M62" s="7">
        <v>5.0589250000000003</v>
      </c>
    </row>
    <row r="63" spans="1:13" ht="14.95" customHeight="1" x14ac:dyDescent="0.2">
      <c r="A63" s="25" t="s">
        <v>88</v>
      </c>
      <c r="B63" s="25"/>
      <c r="C63" s="25"/>
      <c r="D63" s="25"/>
      <c r="E63" s="25"/>
      <c r="F63" s="25"/>
      <c r="G63" s="25"/>
      <c r="H63" s="25"/>
      <c r="I63" s="25"/>
      <c r="J63" s="25"/>
      <c r="K63" s="25"/>
      <c r="L63" s="25"/>
      <c r="M63" s="25"/>
    </row>
    <row r="64" spans="1:13" ht="14.95" customHeight="1" x14ac:dyDescent="0.2">
      <c r="A64" s="23" t="s">
        <v>161</v>
      </c>
      <c r="B64" s="23"/>
      <c r="C64" s="11">
        <v>206.41499999999999</v>
      </c>
      <c r="D64" s="11">
        <v>172.95699999999999</v>
      </c>
      <c r="E64" s="11">
        <v>197.84100000000001</v>
      </c>
      <c r="F64" s="11">
        <v>185.85400000000001</v>
      </c>
      <c r="G64" s="11">
        <v>216.143</v>
      </c>
      <c r="H64" s="11">
        <v>233.43600000000001</v>
      </c>
      <c r="I64" s="11">
        <v>183.11699999999999</v>
      </c>
      <c r="J64" s="11">
        <v>41.701000000000001</v>
      </c>
      <c r="K64" s="11">
        <v>25.625</v>
      </c>
      <c r="L64" s="11">
        <v>27.931000000000001</v>
      </c>
      <c r="M64" s="11">
        <v>29.353999999999999</v>
      </c>
    </row>
    <row r="65" spans="1:13" ht="14.95" customHeight="1" x14ac:dyDescent="0.2">
      <c r="A65" s="25" t="s">
        <v>160</v>
      </c>
      <c r="B65" s="25"/>
      <c r="C65" s="15">
        <v>987.22500000000002</v>
      </c>
      <c r="D65" s="15">
        <v>821.68299999999999</v>
      </c>
      <c r="E65" s="15">
        <v>388.11500000000001</v>
      </c>
      <c r="F65" s="15">
        <v>237.691</v>
      </c>
      <c r="G65" s="15">
        <v>205.762</v>
      </c>
      <c r="H65" s="15">
        <v>211.47300000000001</v>
      </c>
      <c r="I65" s="15">
        <v>868.49199999999996</v>
      </c>
      <c r="J65" s="15">
        <v>77.918000000000006</v>
      </c>
      <c r="K65" s="15">
        <v>142.93100000000001</v>
      </c>
      <c r="L65" s="15">
        <v>73.066999999999993</v>
      </c>
      <c r="M65" s="15">
        <v>36.863</v>
      </c>
    </row>
    <row r="66" spans="1:13" ht="14.95" customHeight="1" x14ac:dyDescent="0.2">
      <c r="A66" s="32" t="s">
        <v>63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48D7-FC3E-4528-847D-BCF698E962AE}">
  <dimension ref="B1:K97"/>
  <sheetViews>
    <sheetView workbookViewId="0">
      <pane ySplit="1" topLeftCell="A2" activePane="bottomLeft" state="frozen"/>
      <selection pane="bottomLeft" activeCell="E80" sqref="E80"/>
    </sheetView>
  </sheetViews>
  <sheetFormatPr defaultRowHeight="12.9" x14ac:dyDescent="0.2"/>
  <cols>
    <col min="2" max="2" width="37.75" bestFit="1" customWidth="1"/>
    <col min="3" max="3" width="17.375" bestFit="1" customWidth="1"/>
    <col min="4" max="4" width="16.375" bestFit="1" customWidth="1"/>
    <col min="5" max="5" width="11" bestFit="1" customWidth="1"/>
    <col min="6" max="6" width="8.5" bestFit="1" customWidth="1"/>
    <col min="7" max="7" width="12.75" bestFit="1" customWidth="1"/>
    <col min="8" max="8" width="17.75" bestFit="1" customWidth="1"/>
    <col min="9" max="9" width="12.25" bestFit="1" customWidth="1"/>
    <col min="10" max="10" width="9.625" bestFit="1" customWidth="1"/>
    <col min="11" max="11" width="14.125" bestFit="1" customWidth="1"/>
  </cols>
  <sheetData>
    <row r="1" spans="2:11" ht="16.3" x14ac:dyDescent="0.3">
      <c r="B1" s="88" t="s">
        <v>361</v>
      </c>
      <c r="C1" s="89" t="s">
        <v>362</v>
      </c>
      <c r="D1" s="89" t="s">
        <v>363</v>
      </c>
      <c r="E1" s="90" t="s">
        <v>364</v>
      </c>
      <c r="F1" s="90" t="s">
        <v>365</v>
      </c>
      <c r="G1" s="90" t="s">
        <v>366</v>
      </c>
      <c r="H1" s="89" t="s">
        <v>367</v>
      </c>
      <c r="I1" s="91" t="s">
        <v>368</v>
      </c>
      <c r="J1" s="91" t="s">
        <v>369</v>
      </c>
      <c r="K1" s="92" t="s">
        <v>370</v>
      </c>
    </row>
    <row r="2" spans="2:11" ht="16.3" x14ac:dyDescent="0.3">
      <c r="B2" s="86" t="s">
        <v>371</v>
      </c>
      <c r="C2" s="82">
        <v>57</v>
      </c>
      <c r="D2" s="83">
        <v>11.635544256632505</v>
      </c>
      <c r="E2" s="83">
        <v>12.940312997421533</v>
      </c>
      <c r="F2" s="83">
        <v>22.238594038328291</v>
      </c>
      <c r="G2" s="83">
        <v>28.618242928199884</v>
      </c>
      <c r="H2" s="83">
        <v>13.245009155432861</v>
      </c>
      <c r="I2" s="83">
        <v>14.924662733096369</v>
      </c>
      <c r="J2" s="83">
        <v>22.680177870578451</v>
      </c>
      <c r="K2" s="87">
        <v>29.186505173678171</v>
      </c>
    </row>
    <row r="3" spans="2:11" ht="16.3" x14ac:dyDescent="0.3">
      <c r="B3" s="86" t="s">
        <v>372</v>
      </c>
      <c r="C3" s="82">
        <v>70</v>
      </c>
      <c r="D3" s="83">
        <v>14.001925113790957</v>
      </c>
      <c r="E3" s="83">
        <v>18.488711603269998</v>
      </c>
      <c r="F3" s="83">
        <v>28.310279485536824</v>
      </c>
      <c r="G3" s="83">
        <v>33.747781313337626</v>
      </c>
      <c r="H3" s="83">
        <v>15.176316241127362</v>
      </c>
      <c r="I3" s="83">
        <v>20.427714524012583</v>
      </c>
      <c r="J3" s="83">
        <v>28.966521913248183</v>
      </c>
      <c r="K3" s="87">
        <v>34.530066982762087</v>
      </c>
    </row>
    <row r="4" spans="2:11" ht="16.3" x14ac:dyDescent="0.3">
      <c r="B4" s="86" t="s">
        <v>373</v>
      </c>
      <c r="C4" s="82">
        <v>25</v>
      </c>
      <c r="D4" s="83">
        <v>6.0280829670958411</v>
      </c>
      <c r="E4" s="83">
        <v>6.1674965255190735</v>
      </c>
      <c r="F4" s="83">
        <v>13.024537501330959</v>
      </c>
      <c r="G4" s="83">
        <v>17.572555047933992</v>
      </c>
      <c r="H4" s="83">
        <v>10.738526409852014</v>
      </c>
      <c r="I4" s="83">
        <v>11.171303517575188</v>
      </c>
      <c r="J4" s="83">
        <v>13.538278667440197</v>
      </c>
      <c r="K4" s="87">
        <v>18.265688675206501</v>
      </c>
    </row>
    <row r="5" spans="2:11" ht="16.3" x14ac:dyDescent="0.3">
      <c r="B5" s="86" t="s">
        <v>374</v>
      </c>
      <c r="C5" s="82">
        <v>38</v>
      </c>
      <c r="D5" s="83">
        <v>7.8511771041402563</v>
      </c>
      <c r="E5" s="83">
        <v>7.9181161902182877</v>
      </c>
      <c r="F5" s="83">
        <v>12.388401308447197</v>
      </c>
      <c r="G5" s="83">
        <v>16.088597171072596</v>
      </c>
      <c r="H5" s="83">
        <v>9.5984283947299893</v>
      </c>
      <c r="I5" s="83">
        <v>9.6976776837130814</v>
      </c>
      <c r="J5" s="83">
        <v>12.510621078512559</v>
      </c>
      <c r="K5" s="87">
        <v>16.247321819876309</v>
      </c>
    </row>
    <row r="6" spans="2:11" ht="16.3" x14ac:dyDescent="0.3">
      <c r="B6" s="86" t="s">
        <v>375</v>
      </c>
      <c r="C6" s="82">
        <v>34</v>
      </c>
      <c r="D6" s="83">
        <v>14.636479313665443</v>
      </c>
      <c r="E6" s="83">
        <v>21.649291457975476</v>
      </c>
      <c r="F6" s="83">
        <v>49.578165599480705</v>
      </c>
      <c r="G6" s="83">
        <v>61.623407064854348</v>
      </c>
      <c r="H6" s="83">
        <v>17.636847884293193</v>
      </c>
      <c r="I6" s="83">
        <v>28.421506303050407</v>
      </c>
      <c r="J6" s="83">
        <v>50.999276468545538</v>
      </c>
      <c r="K6" s="87">
        <v>63.389783301444851</v>
      </c>
    </row>
    <row r="7" spans="2:11" ht="16.3" x14ac:dyDescent="0.3">
      <c r="B7" s="86" t="s">
        <v>376</v>
      </c>
      <c r="C7" s="82">
        <v>39</v>
      </c>
      <c r="D7" s="83">
        <v>5.0766095335191412</v>
      </c>
      <c r="E7" s="83">
        <v>7.0555269605485504</v>
      </c>
      <c r="F7" s="83">
        <v>14.11643631329104</v>
      </c>
      <c r="G7" s="83">
        <v>20.120392861048732</v>
      </c>
      <c r="H7" s="83">
        <v>6.2047510142489521</v>
      </c>
      <c r="I7" s="83">
        <v>9.1079602088794616</v>
      </c>
      <c r="J7" s="83">
        <v>15.181569851805268</v>
      </c>
      <c r="K7" s="87">
        <v>21.638545514364456</v>
      </c>
    </row>
    <row r="8" spans="2:11" ht="16.3" x14ac:dyDescent="0.3">
      <c r="B8" s="86" t="s">
        <v>377</v>
      </c>
      <c r="C8" s="82">
        <v>15</v>
      </c>
      <c r="D8" s="83" t="s">
        <v>378</v>
      </c>
      <c r="E8" s="83" t="s">
        <v>378</v>
      </c>
      <c r="F8" s="83" t="s">
        <v>378</v>
      </c>
      <c r="G8" s="83" t="s">
        <v>378</v>
      </c>
      <c r="H8" s="83" t="s">
        <v>378</v>
      </c>
      <c r="I8" s="83" t="s">
        <v>378</v>
      </c>
      <c r="J8" s="83" t="s">
        <v>378</v>
      </c>
      <c r="K8" s="87" t="s">
        <v>378</v>
      </c>
    </row>
    <row r="9" spans="2:11" ht="16.3" x14ac:dyDescent="0.3">
      <c r="B9" s="86" t="s">
        <v>379</v>
      </c>
      <c r="C9" s="82">
        <v>625</v>
      </c>
      <c r="D9" s="83" t="s">
        <v>378</v>
      </c>
      <c r="E9" s="83" t="s">
        <v>378</v>
      </c>
      <c r="F9" s="83" t="s">
        <v>378</v>
      </c>
      <c r="G9" s="83" t="s">
        <v>378</v>
      </c>
      <c r="H9" s="83" t="s">
        <v>378</v>
      </c>
      <c r="I9" s="83" t="s">
        <v>378</v>
      </c>
      <c r="J9" s="83" t="s">
        <v>378</v>
      </c>
      <c r="K9" s="87" t="s">
        <v>378</v>
      </c>
    </row>
    <row r="10" spans="2:11" ht="16.3" x14ac:dyDescent="0.3">
      <c r="B10" s="86" t="s">
        <v>380</v>
      </c>
      <c r="C10" s="82">
        <v>19</v>
      </c>
      <c r="D10" s="83">
        <v>14.843529532980639</v>
      </c>
      <c r="E10" s="83">
        <v>14.843529532980639</v>
      </c>
      <c r="F10" s="83">
        <v>18.678840886226705</v>
      </c>
      <c r="G10" s="83">
        <v>26.283017622169343</v>
      </c>
      <c r="H10" s="83">
        <v>16.85778223578621</v>
      </c>
      <c r="I10" s="83">
        <v>16.85778223578621</v>
      </c>
      <c r="J10" s="83">
        <v>18.754087007637288</v>
      </c>
      <c r="K10" s="87">
        <v>26.388896522636479</v>
      </c>
    </row>
    <row r="11" spans="2:11" ht="16.3" x14ac:dyDescent="0.3">
      <c r="B11" s="86" t="s">
        <v>381</v>
      </c>
      <c r="C11" s="82">
        <v>29</v>
      </c>
      <c r="D11" s="83">
        <v>17.689956612570001</v>
      </c>
      <c r="E11" s="83">
        <v>18.067516918352702</v>
      </c>
      <c r="F11" s="83">
        <v>21.467253635523878</v>
      </c>
      <c r="G11" s="83">
        <v>26.46710078753652</v>
      </c>
      <c r="H11" s="83">
        <v>19.865951046024701</v>
      </c>
      <c r="I11" s="83">
        <v>20.343182588115091</v>
      </c>
      <c r="J11" s="83">
        <v>21.475174266353335</v>
      </c>
      <c r="K11" s="87">
        <v>26.476866178956556</v>
      </c>
    </row>
    <row r="12" spans="2:11" ht="16.3" x14ac:dyDescent="0.3">
      <c r="B12" s="86" t="s">
        <v>382</v>
      </c>
      <c r="C12" s="82">
        <v>22</v>
      </c>
      <c r="D12" s="83">
        <v>7.3080777793765961</v>
      </c>
      <c r="E12" s="83">
        <v>7.3098296438361263</v>
      </c>
      <c r="F12" s="83">
        <v>10.673057550494407</v>
      </c>
      <c r="G12" s="83">
        <v>12.781570306383152</v>
      </c>
      <c r="H12" s="83">
        <v>6.333416653357153</v>
      </c>
      <c r="I12" s="83">
        <v>6.3347310647168431</v>
      </c>
      <c r="J12" s="83">
        <v>10.68350787634518</v>
      </c>
      <c r="K12" s="87">
        <v>12.794085143294163</v>
      </c>
    </row>
    <row r="13" spans="2:11" ht="16.3" x14ac:dyDescent="0.3">
      <c r="B13" s="86" t="s">
        <v>383</v>
      </c>
      <c r="C13" s="82">
        <v>27</v>
      </c>
      <c r="D13" s="83" t="s">
        <v>378</v>
      </c>
      <c r="E13" s="83" t="s">
        <v>378</v>
      </c>
      <c r="F13" s="83" t="s">
        <v>378</v>
      </c>
      <c r="G13" s="83" t="s">
        <v>378</v>
      </c>
      <c r="H13" s="83" t="s">
        <v>378</v>
      </c>
      <c r="I13" s="83" t="s">
        <v>378</v>
      </c>
      <c r="J13" s="83" t="s">
        <v>378</v>
      </c>
      <c r="K13" s="87" t="s">
        <v>378</v>
      </c>
    </row>
    <row r="14" spans="2:11" ht="16.3" x14ac:dyDescent="0.3">
      <c r="B14" s="86" t="s">
        <v>384</v>
      </c>
      <c r="C14" s="82">
        <v>44</v>
      </c>
      <c r="D14" s="83">
        <v>11.291851455475655</v>
      </c>
      <c r="E14" s="83">
        <v>12.010468803767779</v>
      </c>
      <c r="F14" s="83">
        <v>15.394243623712891</v>
      </c>
      <c r="G14" s="83">
        <v>20.615203475936816</v>
      </c>
      <c r="H14" s="83">
        <v>11.164344907618995</v>
      </c>
      <c r="I14" s="83">
        <v>11.86559146339191</v>
      </c>
      <c r="J14" s="83">
        <v>15.409297213741489</v>
      </c>
      <c r="K14" s="87">
        <v>20.635362493103781</v>
      </c>
    </row>
    <row r="15" spans="2:11" ht="16.3" x14ac:dyDescent="0.3">
      <c r="B15" s="86" t="s">
        <v>385</v>
      </c>
      <c r="C15" s="82">
        <v>162</v>
      </c>
      <c r="D15" s="83">
        <v>15.399572148623459</v>
      </c>
      <c r="E15" s="83">
        <v>16.123377912677118</v>
      </c>
      <c r="F15" s="83">
        <v>23.493439699858502</v>
      </c>
      <c r="G15" s="83">
        <v>30.651237532586837</v>
      </c>
      <c r="H15" s="83">
        <v>17.170275126979025</v>
      </c>
      <c r="I15" s="83">
        <v>18.062901437586486</v>
      </c>
      <c r="J15" s="83">
        <v>23.795730326290187</v>
      </c>
      <c r="K15" s="87">
        <v>31.045627707589087</v>
      </c>
    </row>
    <row r="16" spans="2:11" ht="16.3" x14ac:dyDescent="0.3">
      <c r="B16" s="86" t="s">
        <v>386</v>
      </c>
      <c r="C16" s="82">
        <v>10</v>
      </c>
      <c r="D16" s="83">
        <v>7.7627830231639319</v>
      </c>
      <c r="E16" s="83">
        <v>7.8008723610498603</v>
      </c>
      <c r="F16" s="83">
        <v>13.348955942597875</v>
      </c>
      <c r="G16" s="83">
        <v>18.035125501098911</v>
      </c>
      <c r="H16" s="83">
        <v>7.9216401870127875</v>
      </c>
      <c r="I16" s="83">
        <v>7.9613082252280325</v>
      </c>
      <c r="J16" s="83">
        <v>13.349006084131313</v>
      </c>
      <c r="K16" s="87">
        <v>18.035193244887434</v>
      </c>
    </row>
    <row r="17" spans="2:11" ht="16.3" x14ac:dyDescent="0.3">
      <c r="B17" s="86" t="s">
        <v>387</v>
      </c>
      <c r="C17" s="82">
        <v>32</v>
      </c>
      <c r="D17" s="83">
        <v>7.5878347908208719</v>
      </c>
      <c r="E17" s="83">
        <v>8.0995322699832801</v>
      </c>
      <c r="F17" s="83">
        <v>14.05606834124257</v>
      </c>
      <c r="G17" s="83">
        <v>17.95361248001667</v>
      </c>
      <c r="H17" s="83">
        <v>5.807154176429739</v>
      </c>
      <c r="I17" s="83">
        <v>6.0961400573494249</v>
      </c>
      <c r="J17" s="83">
        <v>14.336429351176175</v>
      </c>
      <c r="K17" s="87">
        <v>18.311713536774132</v>
      </c>
    </row>
    <row r="18" spans="2:11" ht="16.3" x14ac:dyDescent="0.3">
      <c r="B18" s="86" t="s">
        <v>388</v>
      </c>
      <c r="C18" s="82">
        <v>4</v>
      </c>
      <c r="D18" s="83">
        <v>12.502076657951953</v>
      </c>
      <c r="E18" s="83">
        <v>15.396063877133198</v>
      </c>
      <c r="F18" s="83">
        <v>73.615159171578384</v>
      </c>
      <c r="G18" s="83">
        <v>130.19522748241988</v>
      </c>
      <c r="H18" s="83">
        <v>5.511119655934646</v>
      </c>
      <c r="I18" s="83">
        <v>6.0086515040379425</v>
      </c>
      <c r="J18" s="83">
        <v>73.666149976096619</v>
      </c>
      <c r="K18" s="87">
        <v>130.28540944315284</v>
      </c>
    </row>
    <row r="19" spans="2:11" ht="16.3" x14ac:dyDescent="0.3">
      <c r="B19" s="86" t="s">
        <v>389</v>
      </c>
      <c r="C19" s="82">
        <v>68</v>
      </c>
      <c r="D19" s="83">
        <v>11.376420808771252</v>
      </c>
      <c r="E19" s="83">
        <v>12.849678147864511</v>
      </c>
      <c r="F19" s="83">
        <v>19.995555424351952</v>
      </c>
      <c r="G19" s="83">
        <v>25.014495582839633</v>
      </c>
      <c r="H19" s="83">
        <v>11.175610411025794</v>
      </c>
      <c r="I19" s="83">
        <v>12.576964391665681</v>
      </c>
      <c r="J19" s="83">
        <v>20.212192276372829</v>
      </c>
      <c r="K19" s="87">
        <v>25.285508888694434</v>
      </c>
    </row>
    <row r="20" spans="2:11" ht="16.3" x14ac:dyDescent="0.3">
      <c r="B20" s="86" t="s">
        <v>390</v>
      </c>
      <c r="C20" s="82">
        <v>18</v>
      </c>
      <c r="D20" s="83">
        <v>2.7218206983734707</v>
      </c>
      <c r="E20" s="83">
        <v>2.7528990930238861</v>
      </c>
      <c r="F20" s="83">
        <v>4.0368281544460292</v>
      </c>
      <c r="G20" s="83">
        <v>4.7982519617285631</v>
      </c>
      <c r="H20" s="83">
        <v>5.4236725679060127</v>
      </c>
      <c r="I20" s="83">
        <v>5.50119833692826</v>
      </c>
      <c r="J20" s="83">
        <v>6.4439730775417701</v>
      </c>
      <c r="K20" s="87">
        <v>7.6594309387648307</v>
      </c>
    </row>
    <row r="21" spans="2:11" ht="16.3" x14ac:dyDescent="0.3">
      <c r="B21" s="86" t="s">
        <v>391</v>
      </c>
      <c r="C21" s="82">
        <v>72</v>
      </c>
      <c r="D21" s="83">
        <v>10.292959353275418</v>
      </c>
      <c r="E21" s="83">
        <v>12.610910959671749</v>
      </c>
      <c r="F21" s="83">
        <v>18.862943171557092</v>
      </c>
      <c r="G21" s="83">
        <v>23.435411568279118</v>
      </c>
      <c r="H21" s="83">
        <v>11.265611515278579</v>
      </c>
      <c r="I21" s="83">
        <v>14.093376516825284</v>
      </c>
      <c r="J21" s="83">
        <v>18.912703514742514</v>
      </c>
      <c r="K21" s="87">
        <v>23.497234058636167</v>
      </c>
    </row>
    <row r="22" spans="2:11" ht="16.3" x14ac:dyDescent="0.3">
      <c r="B22" s="86" t="s">
        <v>392</v>
      </c>
      <c r="C22" s="82">
        <v>36</v>
      </c>
      <c r="D22" s="83">
        <v>17.088784948237798</v>
      </c>
      <c r="E22" s="83">
        <v>21.831632280697495</v>
      </c>
      <c r="F22" s="83">
        <v>25.971419409717786</v>
      </c>
      <c r="G22" s="83">
        <v>30.500878246426122</v>
      </c>
      <c r="H22" s="83">
        <v>17.508357510038888</v>
      </c>
      <c r="I22" s="83">
        <v>22.469146439056985</v>
      </c>
      <c r="J22" s="83">
        <v>26.18295567195219</v>
      </c>
      <c r="K22" s="87">
        <v>30.749306785403142</v>
      </c>
    </row>
    <row r="23" spans="2:11" ht="16.3" x14ac:dyDescent="0.3">
      <c r="B23" s="86" t="s">
        <v>393</v>
      </c>
      <c r="C23" s="82">
        <v>45</v>
      </c>
      <c r="D23" s="83">
        <v>9.8875132068811933</v>
      </c>
      <c r="E23" s="83">
        <v>11.117699163080328</v>
      </c>
      <c r="F23" s="83">
        <v>14.030171302852379</v>
      </c>
      <c r="G23" s="83">
        <v>18.218547163034511</v>
      </c>
      <c r="H23" s="83">
        <v>13.036412404032754</v>
      </c>
      <c r="I23" s="83">
        <v>15.255939064584421</v>
      </c>
      <c r="J23" s="83">
        <v>14.069167942664793</v>
      </c>
      <c r="K23" s="87">
        <v>18.269185327479295</v>
      </c>
    </row>
    <row r="24" spans="2:11" ht="16.3" x14ac:dyDescent="0.3">
      <c r="B24" s="86" t="s">
        <v>394</v>
      </c>
      <c r="C24" s="82">
        <v>23</v>
      </c>
      <c r="D24" s="83">
        <v>8.5650597448134995</v>
      </c>
      <c r="E24" s="83">
        <v>8.9346371681963657</v>
      </c>
      <c r="F24" s="83">
        <v>10.510496860016763</v>
      </c>
      <c r="G24" s="83">
        <v>12.68590467502557</v>
      </c>
      <c r="H24" s="83">
        <v>92.970477270063384</v>
      </c>
      <c r="I24" s="83">
        <v>168.53399881814374</v>
      </c>
      <c r="J24" s="83">
        <v>10.525476335043882</v>
      </c>
      <c r="K24" s="87">
        <v>12.703984523657544</v>
      </c>
    </row>
    <row r="25" spans="2:11" ht="16.3" x14ac:dyDescent="0.3">
      <c r="B25" s="86" t="s">
        <v>395</v>
      </c>
      <c r="C25" s="82">
        <v>572</v>
      </c>
      <c r="D25" s="83">
        <v>6.1584145706949958</v>
      </c>
      <c r="E25" s="83">
        <v>13.519816800069261</v>
      </c>
      <c r="F25" s="83" t="s">
        <v>378</v>
      </c>
      <c r="G25" s="83" t="s">
        <v>378</v>
      </c>
      <c r="H25" s="83">
        <v>10.446764517752396</v>
      </c>
      <c r="I25" s="83">
        <v>31.201718096500194</v>
      </c>
      <c r="J25" s="83" t="s">
        <v>378</v>
      </c>
      <c r="K25" s="87" t="s">
        <v>378</v>
      </c>
    </row>
    <row r="26" spans="2:11" ht="16.3" x14ac:dyDescent="0.3">
      <c r="B26" s="86" t="s">
        <v>396</v>
      </c>
      <c r="C26" s="82">
        <v>245</v>
      </c>
      <c r="D26" s="83">
        <v>9.6058591205845296</v>
      </c>
      <c r="E26" s="83">
        <v>16.617974116905632</v>
      </c>
      <c r="F26" s="83">
        <v>27.428480363585575</v>
      </c>
      <c r="G26" s="83">
        <v>33.169683741042491</v>
      </c>
      <c r="H26" s="83">
        <v>8.3655243122008063</v>
      </c>
      <c r="I26" s="83">
        <v>13.076321631381713</v>
      </c>
      <c r="J26" s="83">
        <v>27.978268005612563</v>
      </c>
      <c r="K26" s="87">
        <v>33.834550404052358</v>
      </c>
    </row>
    <row r="27" spans="2:11" ht="16.3" x14ac:dyDescent="0.3">
      <c r="B27" s="86" t="s">
        <v>397</v>
      </c>
      <c r="C27" s="82">
        <v>31</v>
      </c>
      <c r="D27" s="83">
        <v>8.2180455738363474</v>
      </c>
      <c r="E27" s="83">
        <v>10.79885515422891</v>
      </c>
      <c r="F27" s="83">
        <v>31.741208061314889</v>
      </c>
      <c r="G27" s="83">
        <v>56.684511366708662</v>
      </c>
      <c r="H27" s="83">
        <v>15.786083145340127</v>
      </c>
      <c r="I27" s="83">
        <v>23.239738287704682</v>
      </c>
      <c r="J27" s="83">
        <v>45.432797198551043</v>
      </c>
      <c r="K27" s="87">
        <v>81.135409346986023</v>
      </c>
    </row>
    <row r="28" spans="2:11" ht="16.3" x14ac:dyDescent="0.3">
      <c r="B28" s="86" t="s">
        <v>398</v>
      </c>
      <c r="C28" s="82">
        <v>103</v>
      </c>
      <c r="D28" s="83">
        <v>12.036849779889982</v>
      </c>
      <c r="E28" s="83">
        <v>14.654554784871266</v>
      </c>
      <c r="F28" s="83">
        <v>28.89201617695047</v>
      </c>
      <c r="G28" s="83">
        <v>44.736304108564966</v>
      </c>
      <c r="H28" s="83">
        <v>16.834298636250928</v>
      </c>
      <c r="I28" s="83">
        <v>21.68301126369024</v>
      </c>
      <c r="J28" s="83">
        <v>32.277601890520543</v>
      </c>
      <c r="K28" s="87">
        <v>49.978534042961677</v>
      </c>
    </row>
    <row r="29" spans="2:11" ht="16.3" x14ac:dyDescent="0.3">
      <c r="B29" s="86" t="s">
        <v>399</v>
      </c>
      <c r="C29" s="82">
        <v>13</v>
      </c>
      <c r="D29" s="83">
        <v>5.4644858710983986</v>
      </c>
      <c r="E29" s="83">
        <v>19.143941698748328</v>
      </c>
      <c r="F29" s="83" t="s">
        <v>378</v>
      </c>
      <c r="G29" s="83" t="s">
        <v>378</v>
      </c>
      <c r="H29" s="83">
        <v>6.4703289167313827</v>
      </c>
      <c r="I29" s="83">
        <v>23.525424481201355</v>
      </c>
      <c r="J29" s="83" t="s">
        <v>378</v>
      </c>
      <c r="K29" s="87" t="s">
        <v>378</v>
      </c>
    </row>
    <row r="30" spans="2:11" ht="16.3" x14ac:dyDescent="0.3">
      <c r="B30" s="86" t="s">
        <v>400</v>
      </c>
      <c r="C30" s="82">
        <v>129</v>
      </c>
      <c r="D30" s="83">
        <v>10.267019155254269</v>
      </c>
      <c r="E30" s="83">
        <v>13.589599841576854</v>
      </c>
      <c r="F30" s="83">
        <v>22.109356359942485</v>
      </c>
      <c r="G30" s="83">
        <v>29.111082986388197</v>
      </c>
      <c r="H30" s="83">
        <v>10.95135119656932</v>
      </c>
      <c r="I30" s="83">
        <v>14.678240994184026</v>
      </c>
      <c r="J30" s="83">
        <v>22.708882556369641</v>
      </c>
      <c r="K30" s="87">
        <v>29.900470817158592</v>
      </c>
    </row>
    <row r="31" spans="2:11" ht="16.3" x14ac:dyDescent="0.3">
      <c r="B31" s="86" t="s">
        <v>401</v>
      </c>
      <c r="C31" s="82">
        <v>43</v>
      </c>
      <c r="D31" s="83">
        <v>12.446438332700554</v>
      </c>
      <c r="E31" s="83">
        <v>12.760394435192657</v>
      </c>
      <c r="F31" s="83">
        <v>23.127763287334602</v>
      </c>
      <c r="G31" s="83">
        <v>33.41035325008793</v>
      </c>
      <c r="H31" s="83">
        <v>17.489110613747904</v>
      </c>
      <c r="I31" s="83">
        <v>18.104015677362828</v>
      </c>
      <c r="J31" s="83">
        <v>23.541164614480561</v>
      </c>
      <c r="K31" s="87">
        <v>34.007552564280388</v>
      </c>
    </row>
    <row r="32" spans="2:11" ht="16.3" x14ac:dyDescent="0.3">
      <c r="B32" s="86" t="s">
        <v>402</v>
      </c>
      <c r="C32" s="82">
        <v>98</v>
      </c>
      <c r="D32" s="83">
        <v>13.651262641774348</v>
      </c>
      <c r="E32" s="83">
        <v>16.372327269203399</v>
      </c>
      <c r="F32" s="83">
        <v>42.533399418877075</v>
      </c>
      <c r="G32" s="83">
        <v>57.769315188755009</v>
      </c>
      <c r="H32" s="83">
        <v>17.861376630231717</v>
      </c>
      <c r="I32" s="83">
        <v>22.409055168971964</v>
      </c>
      <c r="J32" s="83">
        <v>45.575813312994924</v>
      </c>
      <c r="K32" s="87">
        <v>61.901554078316643</v>
      </c>
    </row>
    <row r="33" spans="2:11" ht="16.3" x14ac:dyDescent="0.3">
      <c r="B33" s="86" t="s">
        <v>403</v>
      </c>
      <c r="C33" s="82">
        <v>57</v>
      </c>
      <c r="D33" s="83">
        <v>14.729866802645052</v>
      </c>
      <c r="E33" s="83">
        <v>15.00034560192311</v>
      </c>
      <c r="F33" s="83">
        <v>24.256339038064446</v>
      </c>
      <c r="G33" s="83">
        <v>32.073101495849244</v>
      </c>
      <c r="H33" s="83">
        <v>16.486911737920639</v>
      </c>
      <c r="I33" s="83">
        <v>16.822968327153486</v>
      </c>
      <c r="J33" s="83">
        <v>24.506874358288368</v>
      </c>
      <c r="K33" s="87">
        <v>32.404373446708242</v>
      </c>
    </row>
    <row r="34" spans="2:11" ht="16.3" x14ac:dyDescent="0.3">
      <c r="B34" s="86" t="s">
        <v>404</v>
      </c>
      <c r="C34" s="82">
        <v>42</v>
      </c>
      <c r="D34" s="83">
        <v>8.1267982933733531</v>
      </c>
      <c r="E34" s="83">
        <v>8.9728445584552468</v>
      </c>
      <c r="F34" s="83">
        <v>10.564710180101258</v>
      </c>
      <c r="G34" s="83">
        <v>13.484854766902682</v>
      </c>
      <c r="H34" s="83">
        <v>8.858314783338308</v>
      </c>
      <c r="I34" s="83">
        <v>9.8624605889020192</v>
      </c>
      <c r="J34" s="83">
        <v>10.664529170115321</v>
      </c>
      <c r="K34" s="87">
        <v>13.612264280308343</v>
      </c>
    </row>
    <row r="35" spans="2:11" ht="16.3" x14ac:dyDescent="0.3">
      <c r="B35" s="86" t="s">
        <v>405</v>
      </c>
      <c r="C35" s="82">
        <v>172</v>
      </c>
      <c r="D35" s="83">
        <v>56.657778418384339</v>
      </c>
      <c r="E35" s="83">
        <v>62.475028788602742</v>
      </c>
      <c r="F35" s="83">
        <v>83.078559960891738</v>
      </c>
      <c r="G35" s="83">
        <v>103.07010448388759</v>
      </c>
      <c r="H35" s="83">
        <v>87.008220616901198</v>
      </c>
      <c r="I35" s="83">
        <v>96.065086255802498</v>
      </c>
      <c r="J35" s="83">
        <v>126.00525243137558</v>
      </c>
      <c r="K35" s="87">
        <v>156.3264281390309</v>
      </c>
    </row>
    <row r="36" spans="2:11" ht="16.3" x14ac:dyDescent="0.3">
      <c r="B36" s="86" t="s">
        <v>406</v>
      </c>
      <c r="C36" s="82">
        <v>82</v>
      </c>
      <c r="D36" s="83">
        <v>12.012920191172574</v>
      </c>
      <c r="E36" s="83">
        <v>12.510605460521338</v>
      </c>
      <c r="F36" s="83">
        <v>16.772528178110687</v>
      </c>
      <c r="G36" s="83">
        <v>21.617883971846346</v>
      </c>
      <c r="H36" s="83">
        <v>13.287626666559722</v>
      </c>
      <c r="I36" s="83">
        <v>13.895093727994103</v>
      </c>
      <c r="J36" s="83">
        <v>16.881559375349568</v>
      </c>
      <c r="K36" s="87">
        <v>21.758412802455066</v>
      </c>
    </row>
    <row r="37" spans="2:11" ht="16.3" x14ac:dyDescent="0.3">
      <c r="B37" s="86" t="s">
        <v>407</v>
      </c>
      <c r="C37" s="82">
        <v>14</v>
      </c>
      <c r="D37" s="83">
        <v>11.256367425384894</v>
      </c>
      <c r="E37" s="83">
        <v>11.256367425384894</v>
      </c>
      <c r="F37" s="83">
        <v>18.0515417386402</v>
      </c>
      <c r="G37" s="83">
        <v>23.878534719280452</v>
      </c>
      <c r="H37" s="83">
        <v>13.12878916930565</v>
      </c>
      <c r="I37" s="83">
        <v>13.12878916930565</v>
      </c>
      <c r="J37" s="83">
        <v>18.053323118779403</v>
      </c>
      <c r="K37" s="87">
        <v>23.88089112451819</v>
      </c>
    </row>
    <row r="38" spans="2:11" ht="16.3" x14ac:dyDescent="0.3">
      <c r="B38" s="86" t="s">
        <v>408</v>
      </c>
      <c r="C38" s="82">
        <v>31</v>
      </c>
      <c r="D38" s="83">
        <v>8.0699601799313161</v>
      </c>
      <c r="E38" s="83">
        <v>9.3651533150560073</v>
      </c>
      <c r="F38" s="83">
        <v>16.699225224322326</v>
      </c>
      <c r="G38" s="83">
        <v>19.427233341583086</v>
      </c>
      <c r="H38" s="83">
        <v>8.5760164706467901</v>
      </c>
      <c r="I38" s="83">
        <v>10.006524874496755</v>
      </c>
      <c r="J38" s="83">
        <v>17.168132045622901</v>
      </c>
      <c r="K38" s="87">
        <v>19.972741418185244</v>
      </c>
    </row>
    <row r="39" spans="2:11" ht="16.3" x14ac:dyDescent="0.3">
      <c r="B39" s="86" t="s">
        <v>409</v>
      </c>
      <c r="C39" s="82">
        <v>17</v>
      </c>
      <c r="D39" s="83">
        <v>12.613560917701902</v>
      </c>
      <c r="E39" s="83">
        <v>12.631994561427968</v>
      </c>
      <c r="F39" s="83">
        <v>33.578774668897871</v>
      </c>
      <c r="G39" s="83">
        <v>37.906891662099298</v>
      </c>
      <c r="H39" s="83">
        <v>13.846957905649504</v>
      </c>
      <c r="I39" s="83">
        <v>13.868686521468994</v>
      </c>
      <c r="J39" s="83">
        <v>34.333971084163529</v>
      </c>
      <c r="K39" s="87">
        <v>38.759428688222435</v>
      </c>
    </row>
    <row r="40" spans="2:11" ht="16.3" x14ac:dyDescent="0.3">
      <c r="B40" s="86" t="s">
        <v>410</v>
      </c>
      <c r="C40" s="82">
        <v>230</v>
      </c>
      <c r="D40" s="83">
        <v>15.708219336168908</v>
      </c>
      <c r="E40" s="83">
        <v>21.511372797591477</v>
      </c>
      <c r="F40" s="83">
        <v>36.992220884124826</v>
      </c>
      <c r="G40" s="83">
        <v>47.773236805009716</v>
      </c>
      <c r="H40" s="83">
        <v>17.536220926311163</v>
      </c>
      <c r="I40" s="83">
        <v>24.67132865226057</v>
      </c>
      <c r="J40" s="83">
        <v>38.521872536588774</v>
      </c>
      <c r="K40" s="87">
        <v>49.748690261865974</v>
      </c>
    </row>
    <row r="41" spans="2:11" ht="16.3" x14ac:dyDescent="0.3">
      <c r="B41" s="86" t="s">
        <v>411</v>
      </c>
      <c r="C41" s="82">
        <v>119</v>
      </c>
      <c r="D41" s="83">
        <v>11.132936114292596</v>
      </c>
      <c r="E41" s="83">
        <v>11.292454334901061</v>
      </c>
      <c r="F41" s="83">
        <v>15.455594645482641</v>
      </c>
      <c r="G41" s="83">
        <v>20.31335666125446</v>
      </c>
      <c r="H41" s="83">
        <v>12.99087204676316</v>
      </c>
      <c r="I41" s="83">
        <v>13.204202566311292</v>
      </c>
      <c r="J41" s="83">
        <v>15.768683922858347</v>
      </c>
      <c r="K41" s="87">
        <v>20.724851288541803</v>
      </c>
    </row>
    <row r="42" spans="2:11" ht="16.3" x14ac:dyDescent="0.3">
      <c r="B42" s="86" t="s">
        <v>412</v>
      </c>
      <c r="C42" s="82">
        <v>128</v>
      </c>
      <c r="D42" s="83">
        <v>16.782255310003766</v>
      </c>
      <c r="E42" s="83">
        <v>21.435576546426841</v>
      </c>
      <c r="F42" s="83">
        <v>36.529531221176818</v>
      </c>
      <c r="G42" s="83">
        <v>42.338891794622391</v>
      </c>
      <c r="H42" s="83">
        <v>17.459512678107028</v>
      </c>
      <c r="I42" s="83">
        <v>22.354039641112699</v>
      </c>
      <c r="J42" s="83">
        <v>37.678972389553827</v>
      </c>
      <c r="K42" s="87">
        <v>43.671130770193642</v>
      </c>
    </row>
    <row r="43" spans="2:11" ht="16.3" x14ac:dyDescent="0.3">
      <c r="B43" s="86" t="s">
        <v>413</v>
      </c>
      <c r="C43" s="82">
        <v>32</v>
      </c>
      <c r="D43" s="83">
        <v>7.7926513257951306</v>
      </c>
      <c r="E43" s="83">
        <v>7.7926513257951306</v>
      </c>
      <c r="F43" s="83">
        <v>8.1068864527413051</v>
      </c>
      <c r="G43" s="83">
        <v>10.61343645790768</v>
      </c>
      <c r="H43" s="83">
        <v>7.3166992010591736</v>
      </c>
      <c r="I43" s="83">
        <v>7.3166992010591736</v>
      </c>
      <c r="J43" s="83">
        <v>8.1131721692740904</v>
      </c>
      <c r="K43" s="87">
        <v>10.621665641010472</v>
      </c>
    </row>
    <row r="44" spans="2:11" ht="16.3" x14ac:dyDescent="0.3">
      <c r="B44" s="86" t="s">
        <v>414</v>
      </c>
      <c r="C44" s="82">
        <v>32</v>
      </c>
      <c r="D44" s="83">
        <v>8.7521522544824109</v>
      </c>
      <c r="E44" s="83">
        <v>8.7526157560373488</v>
      </c>
      <c r="F44" s="83">
        <v>13.412731417361721</v>
      </c>
      <c r="G44" s="83">
        <v>16.608759445046307</v>
      </c>
      <c r="H44" s="83">
        <v>10.156649629262592</v>
      </c>
      <c r="I44" s="83">
        <v>10.15726948919686</v>
      </c>
      <c r="J44" s="83">
        <v>13.506710039474784</v>
      </c>
      <c r="K44" s="87">
        <v>16.725131590218197</v>
      </c>
    </row>
    <row r="45" spans="2:11" ht="16.3" x14ac:dyDescent="0.3">
      <c r="B45" s="86" t="s">
        <v>415</v>
      </c>
      <c r="C45" s="82">
        <v>68</v>
      </c>
      <c r="D45" s="83">
        <v>13.688903229816008</v>
      </c>
      <c r="E45" s="83">
        <v>14.975440441167427</v>
      </c>
      <c r="F45" s="83">
        <v>30.72977186409063</v>
      </c>
      <c r="G45" s="83">
        <v>33.943794827206681</v>
      </c>
      <c r="H45" s="83">
        <v>20.725167206827319</v>
      </c>
      <c r="I45" s="83">
        <v>23.729924542246639</v>
      </c>
      <c r="J45" s="83">
        <v>31.565918202444614</v>
      </c>
      <c r="K45" s="87">
        <v>34.867393605620443</v>
      </c>
    </row>
    <row r="46" spans="2:11" ht="16.3" x14ac:dyDescent="0.3">
      <c r="B46" s="86" t="s">
        <v>416</v>
      </c>
      <c r="C46" s="82">
        <v>93</v>
      </c>
      <c r="D46" s="83">
        <v>14.642448486096773</v>
      </c>
      <c r="E46" s="83">
        <v>15.954989167369019</v>
      </c>
      <c r="F46" s="83">
        <v>20.013621435472231</v>
      </c>
      <c r="G46" s="83">
        <v>25.842343134326704</v>
      </c>
      <c r="H46" s="83">
        <v>15.286764862522972</v>
      </c>
      <c r="I46" s="83">
        <v>16.715532308977608</v>
      </c>
      <c r="J46" s="83">
        <v>20.109556161178187</v>
      </c>
      <c r="K46" s="87">
        <v>25.966217671885246</v>
      </c>
    </row>
    <row r="47" spans="2:11" ht="16.3" x14ac:dyDescent="0.3">
      <c r="B47" s="86" t="s">
        <v>417</v>
      </c>
      <c r="C47" s="82">
        <v>18</v>
      </c>
      <c r="D47" s="83">
        <v>11.008067762226531</v>
      </c>
      <c r="E47" s="83">
        <v>12.153718575448424</v>
      </c>
      <c r="F47" s="83">
        <v>19.061250080564882</v>
      </c>
      <c r="G47" s="83">
        <v>25.6561861505911</v>
      </c>
      <c r="H47" s="83">
        <v>12.33353651442</v>
      </c>
      <c r="I47" s="83">
        <v>13.789788189957891</v>
      </c>
      <c r="J47" s="83">
        <v>19.06303995835631</v>
      </c>
      <c r="K47" s="87">
        <v>25.658595302016614</v>
      </c>
    </row>
    <row r="48" spans="2:11" ht="16.3" x14ac:dyDescent="0.3">
      <c r="B48" s="86" t="s">
        <v>418</v>
      </c>
      <c r="C48" s="82">
        <v>21</v>
      </c>
      <c r="D48" s="83">
        <v>11.431202022512725</v>
      </c>
      <c r="E48" s="83">
        <v>11.479314259662191</v>
      </c>
      <c r="F48" s="83">
        <v>17.340883842855348</v>
      </c>
      <c r="G48" s="83">
        <v>21.974937954443121</v>
      </c>
      <c r="H48" s="83">
        <v>9.0938100640290553</v>
      </c>
      <c r="I48" s="83">
        <v>9.1241320937956267</v>
      </c>
      <c r="J48" s="83">
        <v>17.397951213263294</v>
      </c>
      <c r="K48" s="87">
        <v>22.047255601876905</v>
      </c>
    </row>
    <row r="49" spans="2:11" ht="16.3" x14ac:dyDescent="0.3">
      <c r="B49" s="86" t="s">
        <v>419</v>
      </c>
      <c r="C49" s="82">
        <v>23</v>
      </c>
      <c r="D49" s="83">
        <v>17.24492070332478</v>
      </c>
      <c r="E49" s="83">
        <v>17.24492070332478</v>
      </c>
      <c r="F49" s="83" t="s">
        <v>378</v>
      </c>
      <c r="G49" s="83" t="s">
        <v>378</v>
      </c>
      <c r="H49" s="83">
        <v>18.23457178590802</v>
      </c>
      <c r="I49" s="83">
        <v>18.23457178590802</v>
      </c>
      <c r="J49" s="83" t="s">
        <v>378</v>
      </c>
      <c r="K49" s="87" t="s">
        <v>378</v>
      </c>
    </row>
    <row r="50" spans="2:11" ht="16.3" x14ac:dyDescent="0.3">
      <c r="B50" s="86" t="s">
        <v>420</v>
      </c>
      <c r="C50" s="82">
        <v>50</v>
      </c>
      <c r="D50" s="83">
        <v>11.773604889791214</v>
      </c>
      <c r="E50" s="83">
        <v>11.773604889791214</v>
      </c>
      <c r="F50" s="83">
        <v>15.658885816047809</v>
      </c>
      <c r="G50" s="83">
        <v>20.002347148003324</v>
      </c>
      <c r="H50" s="83">
        <v>21.55524894036893</v>
      </c>
      <c r="I50" s="83">
        <v>21.55524894036893</v>
      </c>
      <c r="J50" s="83">
        <v>18.123489877423836</v>
      </c>
      <c r="K50" s="87">
        <v>23.150583018495457</v>
      </c>
    </row>
    <row r="51" spans="2:11" ht="16.3" x14ac:dyDescent="0.3">
      <c r="B51" s="86" t="s">
        <v>421</v>
      </c>
      <c r="C51" s="82">
        <v>334</v>
      </c>
      <c r="D51" s="83">
        <v>33.619856125266779</v>
      </c>
      <c r="E51" s="83">
        <v>34.845251313805413</v>
      </c>
      <c r="F51" s="83">
        <v>34.896040662166058</v>
      </c>
      <c r="G51" s="83">
        <v>43.954113104653509</v>
      </c>
      <c r="H51" s="83">
        <v>29.970953152332722</v>
      </c>
      <c r="I51" s="83">
        <v>30.8883544710466</v>
      </c>
      <c r="J51" s="83">
        <v>36.833996346210718</v>
      </c>
      <c r="K51" s="87">
        <v>46.395109897182394</v>
      </c>
    </row>
    <row r="52" spans="2:11" ht="16.3" x14ac:dyDescent="0.3">
      <c r="B52" s="86" t="s">
        <v>422</v>
      </c>
      <c r="C52" s="82">
        <v>103</v>
      </c>
      <c r="D52" s="83">
        <v>13.953350460367783</v>
      </c>
      <c r="E52" s="83">
        <v>15.461408447841649</v>
      </c>
      <c r="F52" s="83">
        <v>20.31238382156512</v>
      </c>
      <c r="G52" s="83">
        <v>26.037317246352412</v>
      </c>
      <c r="H52" s="83">
        <v>15.727404794015643</v>
      </c>
      <c r="I52" s="83">
        <v>17.64579590416297</v>
      </c>
      <c r="J52" s="83">
        <v>20.540572475737754</v>
      </c>
      <c r="K52" s="87">
        <v>26.329819615001199</v>
      </c>
    </row>
    <row r="53" spans="2:11" ht="16.3" x14ac:dyDescent="0.3">
      <c r="B53" s="86" t="s">
        <v>423</v>
      </c>
      <c r="C53" s="82">
        <v>68</v>
      </c>
      <c r="D53" s="83">
        <v>10.288877470377145</v>
      </c>
      <c r="E53" s="83">
        <v>10.355846578641355</v>
      </c>
      <c r="F53" s="83">
        <v>14.873774197012049</v>
      </c>
      <c r="G53" s="83">
        <v>23.617368154260951</v>
      </c>
      <c r="H53" s="83">
        <v>9.0502741778871858</v>
      </c>
      <c r="I53" s="83">
        <v>9.1015165805097897</v>
      </c>
      <c r="J53" s="83">
        <v>15.027547644144043</v>
      </c>
      <c r="K53" s="87">
        <v>23.861537795749502</v>
      </c>
    </row>
    <row r="54" spans="2:11" ht="16.3" x14ac:dyDescent="0.3">
      <c r="B54" s="86" t="s">
        <v>424</v>
      </c>
      <c r="C54" s="82">
        <v>17</v>
      </c>
      <c r="D54" s="83">
        <v>8.0537449816047815</v>
      </c>
      <c r="E54" s="83">
        <v>9.3426486012209295</v>
      </c>
      <c r="F54" s="83">
        <v>15.610563143808655</v>
      </c>
      <c r="G54" s="83">
        <v>22.938198814913832</v>
      </c>
      <c r="H54" s="83">
        <v>9.5921048656331678</v>
      </c>
      <c r="I54" s="83">
        <v>11.476466919359398</v>
      </c>
      <c r="J54" s="83">
        <v>15.621721919714362</v>
      </c>
      <c r="K54" s="87">
        <v>22.954595546914991</v>
      </c>
    </row>
    <row r="55" spans="2:11" ht="16.3" x14ac:dyDescent="0.3">
      <c r="B55" s="86" t="s">
        <v>425</v>
      </c>
      <c r="C55" s="82">
        <v>4</v>
      </c>
      <c r="D55" s="83">
        <v>6.1844761152968406</v>
      </c>
      <c r="E55" s="83">
        <v>6.2381265148709089</v>
      </c>
      <c r="F55" s="83">
        <v>8.5388407205521357</v>
      </c>
      <c r="G55" s="83">
        <v>12.108825870401271</v>
      </c>
      <c r="H55" s="83">
        <v>4.6067509540011944</v>
      </c>
      <c r="I55" s="83">
        <v>4.6364536949145139</v>
      </c>
      <c r="J55" s="83">
        <v>8.5388407205521357</v>
      </c>
      <c r="K55" s="87">
        <v>12.108825870401271</v>
      </c>
    </row>
    <row r="56" spans="2:11" ht="16.3" x14ac:dyDescent="0.3">
      <c r="B56" s="86" t="s">
        <v>426</v>
      </c>
      <c r="C56" s="82">
        <v>166</v>
      </c>
      <c r="D56" s="83">
        <v>4.6651393399468279</v>
      </c>
      <c r="E56" s="83">
        <v>4.6683778175149708</v>
      </c>
      <c r="F56" s="83">
        <v>6.9825673409011877</v>
      </c>
      <c r="G56" s="83">
        <v>8.7587253429148486</v>
      </c>
      <c r="H56" s="83">
        <v>4.2850236638093975</v>
      </c>
      <c r="I56" s="83">
        <v>4.2877364557850557</v>
      </c>
      <c r="J56" s="83">
        <v>7.0321839967492181</v>
      </c>
      <c r="K56" s="87">
        <v>8.8209630041918441</v>
      </c>
    </row>
    <row r="57" spans="2:11" ht="16.3" x14ac:dyDescent="0.3">
      <c r="B57" s="86" t="s">
        <v>427</v>
      </c>
      <c r="C57" s="82">
        <v>24</v>
      </c>
      <c r="D57" s="83">
        <v>7.3113271099998061</v>
      </c>
      <c r="E57" s="83">
        <v>7.3117668440851462</v>
      </c>
      <c r="F57" s="83">
        <v>9.2923197649384655</v>
      </c>
      <c r="G57" s="83">
        <v>11.325837648217675</v>
      </c>
      <c r="H57" s="83">
        <v>12.232313256812262</v>
      </c>
      <c r="I57" s="83">
        <v>12.233535100521731</v>
      </c>
      <c r="J57" s="83">
        <v>9.3613964408945378</v>
      </c>
      <c r="K57" s="87">
        <v>11.41003096452056</v>
      </c>
    </row>
    <row r="58" spans="2:11" ht="16.3" x14ac:dyDescent="0.3">
      <c r="B58" s="86" t="s">
        <v>428</v>
      </c>
      <c r="C58" s="82">
        <v>100</v>
      </c>
      <c r="D58" s="83">
        <v>5.3092919548207105</v>
      </c>
      <c r="E58" s="83">
        <v>5.4241303880351577</v>
      </c>
      <c r="F58" s="83">
        <v>7.0794352962597635</v>
      </c>
      <c r="G58" s="83">
        <v>9.0525281303815284</v>
      </c>
      <c r="H58" s="83">
        <v>5.4179219053188366</v>
      </c>
      <c r="I58" s="83">
        <v>5.5369577125069842</v>
      </c>
      <c r="J58" s="83">
        <v>7.1145178480983562</v>
      </c>
      <c r="K58" s="87">
        <v>9.0973884580932918</v>
      </c>
    </row>
    <row r="59" spans="2:11" ht="16.3" x14ac:dyDescent="0.3">
      <c r="B59" s="86" t="s">
        <v>429</v>
      </c>
      <c r="C59" s="82">
        <v>22</v>
      </c>
      <c r="D59" s="83">
        <v>8.3928009066638847</v>
      </c>
      <c r="E59" s="83">
        <v>8.6311154282377931</v>
      </c>
      <c r="F59" s="83">
        <v>14.02966201208884</v>
      </c>
      <c r="G59" s="83">
        <v>17.743096177639039</v>
      </c>
      <c r="H59" s="83">
        <v>8.6546352588358548</v>
      </c>
      <c r="I59" s="83">
        <v>8.9082208950198343</v>
      </c>
      <c r="J59" s="83">
        <v>14.032626523566742</v>
      </c>
      <c r="K59" s="87">
        <v>17.746845349374382</v>
      </c>
    </row>
    <row r="60" spans="2:11" ht="16.3" x14ac:dyDescent="0.3">
      <c r="B60" s="86" t="s">
        <v>430</v>
      </c>
      <c r="C60" s="82">
        <v>7</v>
      </c>
      <c r="D60" s="83">
        <v>7.0149582512926045</v>
      </c>
      <c r="E60" s="83">
        <v>7.0633686570128136</v>
      </c>
      <c r="F60" s="83">
        <v>10.309929699692999</v>
      </c>
      <c r="G60" s="83">
        <v>14.787501754546637</v>
      </c>
      <c r="H60" s="83">
        <v>4.3405620476052107</v>
      </c>
      <c r="I60" s="83">
        <v>4.3590274169609433</v>
      </c>
      <c r="J60" s="83">
        <v>10.321314985793064</v>
      </c>
      <c r="K60" s="87">
        <v>14.803831636813996</v>
      </c>
    </row>
    <row r="61" spans="2:11" ht="16.3" x14ac:dyDescent="0.3">
      <c r="B61" s="86" t="s">
        <v>431</v>
      </c>
      <c r="C61" s="82">
        <v>50</v>
      </c>
      <c r="D61" s="83">
        <v>11.658379219782056</v>
      </c>
      <c r="E61" s="83">
        <v>11.691846058595218</v>
      </c>
      <c r="F61" s="83">
        <v>22.339910401761529</v>
      </c>
      <c r="G61" s="83">
        <v>25.76074267771801</v>
      </c>
      <c r="H61" s="83">
        <v>13.342089869376908</v>
      </c>
      <c r="I61" s="83">
        <v>13.3850311261155</v>
      </c>
      <c r="J61" s="83">
        <v>22.810948770885382</v>
      </c>
      <c r="K61" s="87">
        <v>26.303909503372541</v>
      </c>
    </row>
    <row r="62" spans="2:11" ht="16.3" x14ac:dyDescent="0.3">
      <c r="B62" s="86" t="s">
        <v>432</v>
      </c>
      <c r="C62" s="82">
        <v>61</v>
      </c>
      <c r="D62" s="83">
        <v>12.58823757229864</v>
      </c>
      <c r="E62" s="83">
        <v>13.009572620028603</v>
      </c>
      <c r="F62" s="83">
        <v>40.056477737396648</v>
      </c>
      <c r="G62" s="83">
        <v>49.747254359107018</v>
      </c>
      <c r="H62" s="83">
        <v>11.939566357999933</v>
      </c>
      <c r="I62" s="83">
        <v>12.30545691529287</v>
      </c>
      <c r="J62" s="83">
        <v>41.381619239369712</v>
      </c>
      <c r="K62" s="87">
        <v>51.39298446529952</v>
      </c>
    </row>
    <row r="63" spans="2:11" ht="16.3" x14ac:dyDescent="0.3">
      <c r="B63" s="86" t="s">
        <v>433</v>
      </c>
      <c r="C63" s="82">
        <v>21</v>
      </c>
      <c r="D63" s="83">
        <v>9.6432162430914445</v>
      </c>
      <c r="E63" s="83">
        <v>10.524430352410006</v>
      </c>
      <c r="F63" s="83">
        <v>18.911615383953578</v>
      </c>
      <c r="G63" s="83">
        <v>24.956318376589731</v>
      </c>
      <c r="H63" s="83">
        <v>10.78587074222078</v>
      </c>
      <c r="I63" s="83">
        <v>11.89442003395629</v>
      </c>
      <c r="J63" s="83">
        <v>19.003475633033375</v>
      </c>
      <c r="K63" s="87">
        <v>25.077539836292932</v>
      </c>
    </row>
    <row r="64" spans="2:11" ht="16.3" x14ac:dyDescent="0.3">
      <c r="B64" s="86" t="s">
        <v>434</v>
      </c>
      <c r="C64" s="82">
        <v>193</v>
      </c>
      <c r="D64" s="83">
        <v>21.017469035612159</v>
      </c>
      <c r="E64" s="83">
        <v>21.021909275607779</v>
      </c>
      <c r="F64" s="83">
        <v>47.68030534436101</v>
      </c>
      <c r="G64" s="83">
        <v>49.289055886371678</v>
      </c>
      <c r="H64" s="83">
        <v>25.485452087026342</v>
      </c>
      <c r="I64" s="83">
        <v>25.491347126293665</v>
      </c>
      <c r="J64" s="83">
        <v>52.806979286855871</v>
      </c>
      <c r="K64" s="87">
        <v>54.588705639825271</v>
      </c>
    </row>
    <row r="65" spans="2:11" ht="16.3" x14ac:dyDescent="0.3">
      <c r="B65" s="86" t="s">
        <v>435</v>
      </c>
      <c r="C65" s="82">
        <v>17</v>
      </c>
      <c r="D65" s="83">
        <v>17.93205737756681</v>
      </c>
      <c r="E65" s="83">
        <v>17.93205737756681</v>
      </c>
      <c r="F65" s="83">
        <v>36.271131152719285</v>
      </c>
      <c r="G65" s="83">
        <v>44.524161153520566</v>
      </c>
      <c r="H65" s="83">
        <v>15.524253470890397</v>
      </c>
      <c r="I65" s="83">
        <v>15.524253470890397</v>
      </c>
      <c r="J65" s="83">
        <v>39.275531261924506</v>
      </c>
      <c r="K65" s="87">
        <v>48.212173916857822</v>
      </c>
    </row>
    <row r="66" spans="2:11" ht="16.3" x14ac:dyDescent="0.3">
      <c r="B66" s="86" t="s">
        <v>436</v>
      </c>
      <c r="C66" s="82">
        <v>11</v>
      </c>
      <c r="D66" s="83">
        <v>18.009159397595386</v>
      </c>
      <c r="E66" s="83">
        <v>18.009159397595386</v>
      </c>
      <c r="F66" s="83">
        <v>28.438668024742345</v>
      </c>
      <c r="G66" s="83">
        <v>34.862438231391465</v>
      </c>
      <c r="H66" s="83">
        <v>24.508845104578132</v>
      </c>
      <c r="I66" s="83">
        <v>24.508845104578132</v>
      </c>
      <c r="J66" s="83">
        <v>29.07645764030044</v>
      </c>
      <c r="K66" s="87">
        <v>35.644292749249757</v>
      </c>
    </row>
    <row r="67" spans="2:11" ht="16.3" x14ac:dyDescent="0.3">
      <c r="B67" s="86" t="s">
        <v>437</v>
      </c>
      <c r="C67" s="82">
        <v>60</v>
      </c>
      <c r="D67" s="83">
        <v>12.515646299635966</v>
      </c>
      <c r="E67" s="83">
        <v>14.981930532197556</v>
      </c>
      <c r="F67" s="83" t="s">
        <v>378</v>
      </c>
      <c r="G67" s="83" t="s">
        <v>378</v>
      </c>
      <c r="H67" s="83">
        <v>22.786072511575235</v>
      </c>
      <c r="I67" s="83">
        <v>30.116176899757683</v>
      </c>
      <c r="J67" s="83" t="s">
        <v>378</v>
      </c>
      <c r="K67" s="87" t="s">
        <v>378</v>
      </c>
    </row>
    <row r="68" spans="2:11" ht="16.3" x14ac:dyDescent="0.3">
      <c r="B68" s="86" t="s">
        <v>438</v>
      </c>
      <c r="C68" s="82">
        <v>55</v>
      </c>
      <c r="D68" s="83">
        <v>8.6045883644831882</v>
      </c>
      <c r="E68" s="83">
        <v>9.9873894498440308</v>
      </c>
      <c r="F68" s="83">
        <v>21.71796210872423</v>
      </c>
      <c r="G68" s="83">
        <v>29.245098840779139</v>
      </c>
      <c r="H68" s="83">
        <v>10.267390998219859</v>
      </c>
      <c r="I68" s="83">
        <v>12.189388471092402</v>
      </c>
      <c r="J68" s="83">
        <v>22.755475001184994</v>
      </c>
      <c r="K68" s="87">
        <v>30.642198943297924</v>
      </c>
    </row>
    <row r="69" spans="2:11" ht="16.3" x14ac:dyDescent="0.3">
      <c r="B69" s="86" t="s">
        <v>439</v>
      </c>
      <c r="C69" s="82">
        <v>1</v>
      </c>
      <c r="D69" s="83">
        <v>7.2830308277311326</v>
      </c>
      <c r="E69" s="83">
        <v>7.2830308277311326</v>
      </c>
      <c r="F69" s="83">
        <v>7.1425014429623443</v>
      </c>
      <c r="G69" s="83">
        <v>9.270319817085273</v>
      </c>
      <c r="H69" s="83">
        <v>11.844508030362737</v>
      </c>
      <c r="I69" s="83">
        <v>11.844508030362737</v>
      </c>
      <c r="J69" s="83">
        <v>7.1425014429623443</v>
      </c>
      <c r="K69" s="87">
        <v>9.270319817085273</v>
      </c>
    </row>
    <row r="70" spans="2:11" ht="16.3" x14ac:dyDescent="0.3">
      <c r="B70" s="86" t="s">
        <v>440</v>
      </c>
      <c r="C70" s="82">
        <v>64</v>
      </c>
      <c r="D70" s="83">
        <v>16.179539530183263</v>
      </c>
      <c r="E70" s="83">
        <v>16.598910443571427</v>
      </c>
      <c r="F70" s="83">
        <v>29.333020694460565</v>
      </c>
      <c r="G70" s="83">
        <v>37.121723784807841</v>
      </c>
      <c r="H70" s="83">
        <v>22.090285621185064</v>
      </c>
      <c r="I70" s="83">
        <v>22.833183451767763</v>
      </c>
      <c r="J70" s="83">
        <v>31.099117269254236</v>
      </c>
      <c r="K70" s="87">
        <v>39.356766329852199</v>
      </c>
    </row>
    <row r="71" spans="2:11" ht="16.3" x14ac:dyDescent="0.3">
      <c r="B71" s="86" t="s">
        <v>441</v>
      </c>
      <c r="C71" s="82">
        <v>30</v>
      </c>
      <c r="D71" s="83">
        <v>11.607610977978993</v>
      </c>
      <c r="E71" s="83">
        <v>11.625721407059311</v>
      </c>
      <c r="F71" s="83">
        <v>17.424466432833757</v>
      </c>
      <c r="G71" s="83">
        <v>23.532333992675703</v>
      </c>
      <c r="H71" s="83">
        <v>14.084024918079384</v>
      </c>
      <c r="I71" s="83">
        <v>14.10930545219261</v>
      </c>
      <c r="J71" s="83">
        <v>18.381106320070479</v>
      </c>
      <c r="K71" s="87">
        <v>24.824308666560114</v>
      </c>
    </row>
    <row r="72" spans="2:11" ht="16.3" x14ac:dyDescent="0.3">
      <c r="B72" s="86" t="s">
        <v>442</v>
      </c>
      <c r="C72" s="82">
        <v>16</v>
      </c>
      <c r="D72" s="83">
        <v>13.212377501081281</v>
      </c>
      <c r="E72" s="83">
        <v>13.331901910729169</v>
      </c>
      <c r="F72" s="83">
        <v>17.190761080323021</v>
      </c>
      <c r="G72" s="83">
        <v>22.810531375509782</v>
      </c>
      <c r="H72" s="83">
        <v>13.779939941177927</v>
      </c>
      <c r="I72" s="83">
        <v>13.907482365065519</v>
      </c>
      <c r="J72" s="83">
        <v>17.52749309513996</v>
      </c>
      <c r="K72" s="87">
        <v>23.257343250401831</v>
      </c>
    </row>
    <row r="73" spans="2:11" ht="16.3" x14ac:dyDescent="0.3">
      <c r="B73" s="86" t="s">
        <v>443</v>
      </c>
      <c r="C73" s="82">
        <v>62</v>
      </c>
      <c r="D73" s="83">
        <v>11.617025547423168</v>
      </c>
      <c r="E73" s="83">
        <v>11.632873296385332</v>
      </c>
      <c r="F73" s="83">
        <v>13.822749735595126</v>
      </c>
      <c r="G73" s="83">
        <v>18.032325799652661</v>
      </c>
      <c r="H73" s="83">
        <v>14.009723966983696</v>
      </c>
      <c r="I73" s="83">
        <v>14.031126221012546</v>
      </c>
      <c r="J73" s="83">
        <v>14.888216698793087</v>
      </c>
      <c r="K73" s="87">
        <v>19.422269752676488</v>
      </c>
    </row>
    <row r="74" spans="2:11" ht="16.3" x14ac:dyDescent="0.3">
      <c r="B74" s="86" t="s">
        <v>444</v>
      </c>
      <c r="C74" s="82">
        <v>26</v>
      </c>
      <c r="D74" s="83">
        <v>10.982862483608853</v>
      </c>
      <c r="E74" s="83">
        <v>16.631295752592539</v>
      </c>
      <c r="F74" s="83">
        <v>38.46582980994355</v>
      </c>
      <c r="G74" s="83">
        <v>49.407205052654454</v>
      </c>
      <c r="H74" s="83">
        <v>13.099950215053601</v>
      </c>
      <c r="I74" s="83">
        <v>22.015732016531704</v>
      </c>
      <c r="J74" s="83">
        <v>38.47732039615984</v>
      </c>
      <c r="K74" s="87">
        <v>49.421964067399969</v>
      </c>
    </row>
    <row r="75" spans="2:11" ht="16.3" x14ac:dyDescent="0.3">
      <c r="B75" s="86" t="s">
        <v>445</v>
      </c>
      <c r="C75" s="82">
        <v>14</v>
      </c>
      <c r="D75" s="83">
        <v>5.6191512205439951</v>
      </c>
      <c r="E75" s="83">
        <v>6.3798048221013888</v>
      </c>
      <c r="F75" s="83">
        <v>19.804920951092498</v>
      </c>
      <c r="G75" s="83">
        <v>29.281597136891847</v>
      </c>
      <c r="H75" s="83">
        <v>6.7492311597162313</v>
      </c>
      <c r="I75" s="83">
        <v>7.8227619832795092</v>
      </c>
      <c r="J75" s="83">
        <v>20.66720882801981</v>
      </c>
      <c r="K75" s="87">
        <v>30.556490699484858</v>
      </c>
    </row>
    <row r="76" spans="2:11" ht="16.3" x14ac:dyDescent="0.3">
      <c r="B76" s="86" t="s">
        <v>446</v>
      </c>
      <c r="C76" s="82">
        <v>28</v>
      </c>
      <c r="D76" s="83">
        <v>17.428172247007474</v>
      </c>
      <c r="E76" s="83">
        <v>17.431873861346652</v>
      </c>
      <c r="F76" s="83">
        <v>34.711010000762485</v>
      </c>
      <c r="G76" s="83">
        <v>36.138580526922276</v>
      </c>
      <c r="H76" s="83">
        <v>18.532443719111804</v>
      </c>
      <c r="I76" s="83">
        <v>18.536629328593559</v>
      </c>
      <c r="J76" s="83">
        <v>34.711010000762485</v>
      </c>
      <c r="K76" s="87">
        <v>36.138580526922276</v>
      </c>
    </row>
    <row r="77" spans="2:11" ht="16.3" x14ac:dyDescent="0.3">
      <c r="B77" s="86" t="s">
        <v>447</v>
      </c>
      <c r="C77" s="82">
        <v>105</v>
      </c>
      <c r="D77" s="83">
        <v>9.2265956422851669</v>
      </c>
      <c r="E77" s="83">
        <v>9.3415485589048952</v>
      </c>
      <c r="F77" s="83">
        <v>20.317569846397642</v>
      </c>
      <c r="G77" s="83">
        <v>26.806519678830433</v>
      </c>
      <c r="H77" s="83">
        <v>14.399412931735652</v>
      </c>
      <c r="I77" s="83">
        <v>14.677977275877687</v>
      </c>
      <c r="J77" s="83">
        <v>20.559704254399293</v>
      </c>
      <c r="K77" s="87">
        <v>27.125986072798266</v>
      </c>
    </row>
    <row r="78" spans="2:11" ht="16.3" x14ac:dyDescent="0.3">
      <c r="B78" s="86" t="s">
        <v>448</v>
      </c>
      <c r="C78" s="82">
        <v>3</v>
      </c>
      <c r="D78" s="83">
        <v>6.0552581896005968</v>
      </c>
      <c r="E78" s="83">
        <v>7.9475865714228098</v>
      </c>
      <c r="F78" s="83">
        <v>29.777572649378406</v>
      </c>
      <c r="G78" s="83">
        <v>29.777572649378406</v>
      </c>
      <c r="H78" s="83">
        <v>5.449530056170687</v>
      </c>
      <c r="I78" s="83">
        <v>6.9285579822172547</v>
      </c>
      <c r="J78" s="83">
        <v>29.891203194893194</v>
      </c>
      <c r="K78" s="87">
        <v>29.891203194893194</v>
      </c>
    </row>
    <row r="79" spans="2:11" ht="16.3" x14ac:dyDescent="0.3">
      <c r="B79" s="86" t="s">
        <v>449</v>
      </c>
      <c r="C79" s="82">
        <v>63</v>
      </c>
      <c r="D79" s="83">
        <v>19.41455118091277</v>
      </c>
      <c r="E79" s="83">
        <v>31.594447138361602</v>
      </c>
      <c r="F79" s="83">
        <v>53.315004182229046</v>
      </c>
      <c r="G79" s="83">
        <v>59.74484604085518</v>
      </c>
      <c r="H79" s="83">
        <v>20.078056165196902</v>
      </c>
      <c r="I79" s="83">
        <v>33.222355832798435</v>
      </c>
      <c r="J79" s="83">
        <v>53.724149549531816</v>
      </c>
      <c r="K79" s="87">
        <v>60.203334741227089</v>
      </c>
    </row>
    <row r="80" spans="2:11" ht="16.3" x14ac:dyDescent="0.3">
      <c r="B80" s="86" t="s">
        <v>450</v>
      </c>
      <c r="C80" s="82">
        <v>30</v>
      </c>
      <c r="D80" s="83">
        <v>13.385903938358283</v>
      </c>
      <c r="E80" s="83">
        <v>18.178195157648474</v>
      </c>
      <c r="F80" s="83">
        <v>21.529732735448246</v>
      </c>
      <c r="G80" s="83">
        <v>24.447547635104041</v>
      </c>
      <c r="H80" s="83">
        <v>12.902665621686538</v>
      </c>
      <c r="I80" s="83">
        <v>17.293502753247544</v>
      </c>
      <c r="J80" s="83">
        <v>21.547577735525699</v>
      </c>
      <c r="K80" s="87">
        <v>24.467811077052101</v>
      </c>
    </row>
    <row r="81" spans="2:11" ht="16.3" x14ac:dyDescent="0.3">
      <c r="B81" s="86" t="s">
        <v>451</v>
      </c>
      <c r="C81" s="82">
        <v>8</v>
      </c>
      <c r="D81" s="83">
        <v>8.384720595362964</v>
      </c>
      <c r="E81" s="83">
        <v>8.384720595362964</v>
      </c>
      <c r="F81" s="83">
        <v>14.228088437354392</v>
      </c>
      <c r="G81" s="83">
        <v>17.481946810830177</v>
      </c>
      <c r="H81" s="83">
        <v>5.1641866502159699</v>
      </c>
      <c r="I81" s="83">
        <v>5.1641866502159699</v>
      </c>
      <c r="J81" s="83">
        <v>14.277518709013201</v>
      </c>
      <c r="K81" s="87">
        <v>17.542681419262568</v>
      </c>
    </row>
    <row r="82" spans="2:11" ht="16.3" x14ac:dyDescent="0.3">
      <c r="B82" s="86" t="s">
        <v>452</v>
      </c>
      <c r="C82" s="82">
        <v>13</v>
      </c>
      <c r="D82" s="83">
        <v>18.839610722139735</v>
      </c>
      <c r="E82" s="83">
        <v>18.953733947779405</v>
      </c>
      <c r="F82" s="83">
        <v>23.682872304836216</v>
      </c>
      <c r="G82" s="83">
        <v>28.745788992030672</v>
      </c>
      <c r="H82" s="83">
        <v>21.738369957056488</v>
      </c>
      <c r="I82" s="83">
        <v>21.890292695737148</v>
      </c>
      <c r="J82" s="83">
        <v>23.708139282944639</v>
      </c>
      <c r="K82" s="87">
        <v>28.776457536446316</v>
      </c>
    </row>
    <row r="83" spans="2:11" ht="16.3" x14ac:dyDescent="0.3">
      <c r="B83" s="86" t="s">
        <v>453</v>
      </c>
      <c r="C83" s="82">
        <v>84</v>
      </c>
      <c r="D83" s="83">
        <v>11.059666628278856</v>
      </c>
      <c r="E83" s="83">
        <v>17.157815859353224</v>
      </c>
      <c r="F83" s="83">
        <v>22.221744412094619</v>
      </c>
      <c r="G83" s="83">
        <v>26.743423211245382</v>
      </c>
      <c r="H83" s="83">
        <v>12.562865318708022</v>
      </c>
      <c r="I83" s="83">
        <v>20.751784553896062</v>
      </c>
      <c r="J83" s="83">
        <v>22.734725942798249</v>
      </c>
      <c r="K83" s="87">
        <v>27.360786183330184</v>
      </c>
    </row>
    <row r="84" spans="2:11" ht="16.3" x14ac:dyDescent="0.3">
      <c r="B84" s="86" t="s">
        <v>454</v>
      </c>
      <c r="C84" s="82">
        <v>35</v>
      </c>
      <c r="D84" s="83">
        <v>7.8581358244802182</v>
      </c>
      <c r="E84" s="83">
        <v>19.329878727497675</v>
      </c>
      <c r="F84" s="83" t="s">
        <v>378</v>
      </c>
      <c r="G84" s="83" t="s">
        <v>378</v>
      </c>
      <c r="H84" s="83">
        <v>37.649656011824206</v>
      </c>
      <c r="I84" s="83" t="s">
        <v>378</v>
      </c>
      <c r="J84" s="83" t="s">
        <v>378</v>
      </c>
      <c r="K84" s="87" t="s">
        <v>378</v>
      </c>
    </row>
    <row r="85" spans="2:11" ht="16.3" x14ac:dyDescent="0.3">
      <c r="B85" s="86" t="s">
        <v>455</v>
      </c>
      <c r="C85" s="82">
        <v>351</v>
      </c>
      <c r="D85" s="83">
        <v>19.133484368430388</v>
      </c>
      <c r="E85" s="83">
        <v>28.433138742544646</v>
      </c>
      <c r="F85" s="83">
        <v>39.481990904188763</v>
      </c>
      <c r="G85" s="83">
        <v>48.600819960695624</v>
      </c>
      <c r="H85" s="83">
        <v>23.492526229337674</v>
      </c>
      <c r="I85" s="83">
        <v>37.574040504294025</v>
      </c>
      <c r="J85" s="83">
        <v>42.307293361488725</v>
      </c>
      <c r="K85" s="87">
        <v>52.078659170855069</v>
      </c>
    </row>
    <row r="86" spans="2:11" ht="16.3" x14ac:dyDescent="0.3">
      <c r="B86" s="86" t="s">
        <v>456</v>
      </c>
      <c r="C86" s="82">
        <v>29</v>
      </c>
      <c r="D86" s="83">
        <v>5.919933434164772</v>
      </c>
      <c r="E86" s="83">
        <v>5.9315455318515609</v>
      </c>
      <c r="F86" s="83">
        <v>7.7262015562222341</v>
      </c>
      <c r="G86" s="83">
        <v>9.6484845942308759</v>
      </c>
      <c r="H86" s="83">
        <v>4.1295218199748138</v>
      </c>
      <c r="I86" s="83">
        <v>4.1351505574985197</v>
      </c>
      <c r="J86" s="83">
        <v>7.7512566459577483</v>
      </c>
      <c r="K86" s="87">
        <v>9.6797734035585972</v>
      </c>
    </row>
    <row r="87" spans="2:11" ht="16.3" x14ac:dyDescent="0.3">
      <c r="B87" s="86" t="s">
        <v>457</v>
      </c>
      <c r="C87" s="82">
        <v>13</v>
      </c>
      <c r="D87" s="83">
        <v>8.9978607239062729</v>
      </c>
      <c r="E87" s="83">
        <v>9.0095138936051899</v>
      </c>
      <c r="F87" s="83">
        <v>23.512660928635778</v>
      </c>
      <c r="G87" s="83">
        <v>31.111270840555552</v>
      </c>
      <c r="H87" s="83">
        <v>10.77029760371266</v>
      </c>
      <c r="I87" s="83">
        <v>10.786996069661763</v>
      </c>
      <c r="J87" s="83">
        <v>23.515643904559671</v>
      </c>
      <c r="K87" s="87">
        <v>31.11521782776218</v>
      </c>
    </row>
    <row r="88" spans="2:11" ht="16.3" x14ac:dyDescent="0.3">
      <c r="B88" s="86" t="s">
        <v>458</v>
      </c>
      <c r="C88" s="82">
        <v>66</v>
      </c>
      <c r="D88" s="83">
        <v>9.086164654706657</v>
      </c>
      <c r="E88" s="83">
        <v>13.979069158223247</v>
      </c>
      <c r="F88" s="83">
        <v>17.645248189217565</v>
      </c>
      <c r="G88" s="83">
        <v>21.407313726192474</v>
      </c>
      <c r="H88" s="83">
        <v>9.9566731012624743</v>
      </c>
      <c r="I88" s="83">
        <v>15.859682307039495</v>
      </c>
      <c r="J88" s="83">
        <v>18.183225570161699</v>
      </c>
      <c r="K88" s="87">
        <v>22.059990891623556</v>
      </c>
    </row>
    <row r="89" spans="2:11" ht="16.3" x14ac:dyDescent="0.3">
      <c r="B89" s="86" t="s">
        <v>459</v>
      </c>
      <c r="C89" s="82">
        <v>42</v>
      </c>
      <c r="D89" s="83">
        <v>6.0861855094795496</v>
      </c>
      <c r="E89" s="83">
        <v>6.178012041794295</v>
      </c>
      <c r="F89" s="83">
        <v>11.212869716340027</v>
      </c>
      <c r="G89" s="83">
        <v>12.691207533977465</v>
      </c>
      <c r="H89" s="83">
        <v>6.3842542702523355</v>
      </c>
      <c r="I89" s="83">
        <v>6.4851683253157031</v>
      </c>
      <c r="J89" s="83">
        <v>11.234940963249262</v>
      </c>
      <c r="K89" s="87">
        <v>12.71618871918205</v>
      </c>
    </row>
    <row r="90" spans="2:11" ht="16.3" x14ac:dyDescent="0.3">
      <c r="B90" s="86" t="s">
        <v>460</v>
      </c>
      <c r="C90" s="82">
        <v>16</v>
      </c>
      <c r="D90" s="83">
        <v>10.525868296393483</v>
      </c>
      <c r="E90" s="83">
        <v>10.84266449583115</v>
      </c>
      <c r="F90" s="83">
        <v>11.674129778938338</v>
      </c>
      <c r="G90" s="83">
        <v>14.822765970683854</v>
      </c>
      <c r="H90" s="83">
        <v>10.647328151985397</v>
      </c>
      <c r="I90" s="83">
        <v>10.970760898249896</v>
      </c>
      <c r="J90" s="83">
        <v>11.703181201947963</v>
      </c>
      <c r="K90" s="87">
        <v>14.85965286953981</v>
      </c>
    </row>
    <row r="91" spans="2:11" ht="16.3" x14ac:dyDescent="0.3">
      <c r="B91" s="86" t="s">
        <v>461</v>
      </c>
      <c r="C91" s="82">
        <v>36</v>
      </c>
      <c r="D91" s="83">
        <v>10.943100535010375</v>
      </c>
      <c r="E91" s="83">
        <v>12.006297422349427</v>
      </c>
      <c r="F91" s="83">
        <v>20.886700335224798</v>
      </c>
      <c r="G91" s="83">
        <v>27.077733166452685</v>
      </c>
      <c r="H91" s="83">
        <v>11.879432308218817</v>
      </c>
      <c r="I91" s="83">
        <v>13.123681205050604</v>
      </c>
      <c r="J91" s="83">
        <v>21.177668242241054</v>
      </c>
      <c r="K91" s="87">
        <v>27.454946954161414</v>
      </c>
    </row>
    <row r="92" spans="2:11" ht="16.3" x14ac:dyDescent="0.3">
      <c r="B92" s="86" t="s">
        <v>462</v>
      </c>
      <c r="C92" s="82">
        <v>4</v>
      </c>
      <c r="D92" s="83">
        <v>14.3196804838998</v>
      </c>
      <c r="E92" s="83">
        <v>14.3196804838998</v>
      </c>
      <c r="F92" s="83">
        <v>18.966125677741278</v>
      </c>
      <c r="G92" s="83">
        <v>24.649957287225821</v>
      </c>
      <c r="H92" s="83">
        <v>13.303051659655271</v>
      </c>
      <c r="I92" s="83">
        <v>13.303051659655271</v>
      </c>
      <c r="J92" s="83">
        <v>18.966125677741278</v>
      </c>
      <c r="K92" s="87">
        <v>24.649957287225821</v>
      </c>
    </row>
    <row r="93" spans="2:11" ht="16.3" x14ac:dyDescent="0.3">
      <c r="B93" s="86" t="s">
        <v>463</v>
      </c>
      <c r="C93" s="82">
        <v>22</v>
      </c>
      <c r="D93" s="83">
        <v>10.373607692261267</v>
      </c>
      <c r="E93" s="83">
        <v>10.57224029827716</v>
      </c>
      <c r="F93" s="83">
        <v>20.589002549993637</v>
      </c>
      <c r="G93" s="83">
        <v>28.252742066849262</v>
      </c>
      <c r="H93" s="83">
        <v>9.7869219993491345</v>
      </c>
      <c r="I93" s="83">
        <v>9.9634616748918905</v>
      </c>
      <c r="J93" s="83">
        <v>20.596956883230433</v>
      </c>
      <c r="K93" s="87">
        <v>28.263657201018933</v>
      </c>
    </row>
    <row r="94" spans="2:11" ht="16.3" x14ac:dyDescent="0.3">
      <c r="B94" s="86" t="s">
        <v>464</v>
      </c>
      <c r="C94" s="82">
        <v>14</v>
      </c>
      <c r="D94" s="83">
        <v>11.689036675252945</v>
      </c>
      <c r="E94" s="83">
        <v>11.69639755876778</v>
      </c>
      <c r="F94" s="83">
        <v>19.078266611364857</v>
      </c>
      <c r="G94" s="83">
        <v>22.627883255079709</v>
      </c>
      <c r="H94" s="83">
        <v>13.08178262646712</v>
      </c>
      <c r="I94" s="83">
        <v>13.091002796846167</v>
      </c>
      <c r="J94" s="83">
        <v>19.078266611364857</v>
      </c>
      <c r="K94" s="87">
        <v>22.627883255079709</v>
      </c>
    </row>
    <row r="95" spans="2:11" ht="16.3" x14ac:dyDescent="0.3">
      <c r="B95" s="86" t="s">
        <v>465</v>
      </c>
      <c r="C95" s="82">
        <v>13</v>
      </c>
      <c r="D95" s="83">
        <v>16.861059231983642</v>
      </c>
      <c r="E95" s="83">
        <v>16.861059231983642</v>
      </c>
      <c r="F95" s="83">
        <v>25.637409477526273</v>
      </c>
      <c r="G95" s="83">
        <v>29.853040049652911</v>
      </c>
      <c r="H95" s="83">
        <v>18.317066439304838</v>
      </c>
      <c r="I95" s="83">
        <v>18.317066439304838</v>
      </c>
      <c r="J95" s="83">
        <v>25.734410147642038</v>
      </c>
      <c r="K95" s="87">
        <v>29.965990809843703</v>
      </c>
    </row>
    <row r="96" spans="2:11" ht="16.3" x14ac:dyDescent="0.3">
      <c r="B96" s="86" t="s">
        <v>466</v>
      </c>
      <c r="C96" s="82">
        <v>6481</v>
      </c>
      <c r="D96" s="83">
        <v>14.008692556411901</v>
      </c>
      <c r="E96" s="83">
        <v>16.807342298997796</v>
      </c>
      <c r="F96" s="83">
        <v>26.139286895624839</v>
      </c>
      <c r="G96" s="83">
        <v>32.72581617648251</v>
      </c>
      <c r="H96" s="83">
        <v>16.772550514861695</v>
      </c>
      <c r="I96" s="83">
        <v>20.536764973811895</v>
      </c>
      <c r="J96" s="83">
        <v>28.431673174790401</v>
      </c>
      <c r="K96" s="87">
        <v>35.595833720458423</v>
      </c>
    </row>
    <row r="97" spans="2:11" ht="16.3" x14ac:dyDescent="0.3">
      <c r="B97" s="93" t="s">
        <v>467</v>
      </c>
      <c r="C97" s="84">
        <v>5214</v>
      </c>
      <c r="D97" s="85">
        <v>11.707529918651462</v>
      </c>
      <c r="E97" s="85">
        <v>14.145902302173438</v>
      </c>
      <c r="F97" s="85">
        <v>22.061341722186697</v>
      </c>
      <c r="G97" s="85">
        <v>27.586787068907054</v>
      </c>
      <c r="H97" s="85">
        <v>13.387908867227202</v>
      </c>
      <c r="I97" s="85">
        <v>16.532409627881098</v>
      </c>
      <c r="J97" s="85">
        <v>22.863000336649062</v>
      </c>
      <c r="K97" s="94">
        <v>28.589227708176402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54FEA-E2C1-BC40-806C-72255645E120}">
  <dimension ref="A1:AN19"/>
  <sheetViews>
    <sheetView zoomScale="110" workbookViewId="0">
      <pane ySplit="1" topLeftCell="A2" activePane="bottomLeft" state="frozen"/>
      <selection activeCell="N1" sqref="N1"/>
      <selection pane="bottomLeft" activeCell="N91" sqref="N91"/>
    </sheetView>
  </sheetViews>
  <sheetFormatPr defaultColWidth="10.875" defaultRowHeight="12.9" x14ac:dyDescent="0.2"/>
  <cols>
    <col min="1" max="1" width="19.375" bestFit="1" customWidth="1"/>
    <col min="2" max="2" width="12.125" bestFit="1" customWidth="1"/>
  </cols>
  <sheetData>
    <row r="1" spans="1:40" ht="13.6" x14ac:dyDescent="0.25">
      <c r="A1" s="44" t="s">
        <v>297</v>
      </c>
      <c r="B1" s="45">
        <v>2023</v>
      </c>
      <c r="C1" s="45">
        <v>2022</v>
      </c>
      <c r="D1" s="45">
        <f>C1-1</f>
        <v>2021</v>
      </c>
      <c r="E1" s="45">
        <f t="shared" ref="E1:L1" si="0">D1-1</f>
        <v>2020</v>
      </c>
      <c r="F1" s="45">
        <f t="shared" si="0"/>
        <v>2019</v>
      </c>
      <c r="G1" s="45">
        <f t="shared" si="0"/>
        <v>2018</v>
      </c>
      <c r="H1" s="45">
        <f t="shared" si="0"/>
        <v>2017</v>
      </c>
      <c r="I1" s="45">
        <f t="shared" si="0"/>
        <v>2016</v>
      </c>
      <c r="J1" s="45">
        <f t="shared" si="0"/>
        <v>2015</v>
      </c>
      <c r="K1" s="45">
        <f t="shared" si="0"/>
        <v>2014</v>
      </c>
      <c r="L1" s="45">
        <f t="shared" si="0"/>
        <v>2013</v>
      </c>
    </row>
    <row r="2" spans="1:40" ht="13.6" x14ac:dyDescent="0.25">
      <c r="A2" s="33" t="s">
        <v>264</v>
      </c>
      <c r="B2" s="43">
        <f>(BS!B26-BS!B19)/BS!B55</f>
        <v>0.85655508906516176</v>
      </c>
      <c r="C2" s="43">
        <f>(BS!C26-BS!C19)/BS!C55</f>
        <v>1.4484558809983399</v>
      </c>
      <c r="D2" s="43">
        <f>(BS!D26-BS!D19)/BS!D55</f>
        <v>1.5080276156620629</v>
      </c>
      <c r="E2" s="43">
        <f>(BS!E26-BS!E19)/BS!E55</f>
        <v>1.3988626989580846</v>
      </c>
      <c r="F2" s="43">
        <f>(BS!F26-BS!F19)/BS!F55</f>
        <v>0.91158082289120201</v>
      </c>
      <c r="G2" s="43">
        <f>(BS!G26-BS!G19)/BS!G55</f>
        <v>1.4503150944903154</v>
      </c>
      <c r="H2" s="43">
        <f>(BS!H26-BS!H19)/BS!H55</f>
        <v>1.1279119882330242</v>
      </c>
      <c r="I2" s="43">
        <f>(BS!I26-BS!I19)/BS!I55</f>
        <v>5.8731744949127256</v>
      </c>
      <c r="J2" s="43">
        <f>(BS!J26-BS!J19)/BS!J55</f>
        <v>3.2924539651472848</v>
      </c>
      <c r="K2" s="43">
        <f>(BS!K26-BS!K19)/BS!K55</f>
        <v>4.8571043753948908</v>
      </c>
      <c r="L2" s="43">
        <f>(BS!L26-BS!L19)/BS!L55</f>
        <v>9.0954931710463587</v>
      </c>
    </row>
    <row r="3" spans="1:40" ht="13.6" x14ac:dyDescent="0.25">
      <c r="A3" s="33" t="s">
        <v>265</v>
      </c>
      <c r="B3" s="43">
        <f>BS!B26/BS!B55</f>
        <v>1.3695912896430489</v>
      </c>
      <c r="C3" s="43">
        <f>BS!C26/BS!C55</f>
        <v>2.0215675156745427</v>
      </c>
      <c r="D3" s="43">
        <f>BS!D26/BS!D55</f>
        <v>1.9414120142424391</v>
      </c>
      <c r="E3" s="43">
        <f>BS!E26/BS!E55</f>
        <v>1.8444789909933141</v>
      </c>
      <c r="F3" s="43">
        <f>BS!F26/BS!F55</f>
        <v>1.3158450834928597</v>
      </c>
      <c r="G3" s="43">
        <f>BS!G26/BS!G55</f>
        <v>2.0082053876023536</v>
      </c>
      <c r="H3" s="43">
        <f>BS!H26/BS!H55</f>
        <v>1.4729630177181188</v>
      </c>
      <c r="I3" s="43">
        <f>BS!I26/BS!I55</f>
        <v>6.3541281896047437</v>
      </c>
      <c r="J3" s="43">
        <f>BS!J26/BS!J55</f>
        <v>3.6626307425729241</v>
      </c>
      <c r="K3" s="43">
        <f>BS!K26/BS!K55</f>
        <v>5.3760013313475943</v>
      </c>
      <c r="L3" s="43">
        <f>BS!L26/BS!L55</f>
        <v>9.5921295257593187</v>
      </c>
    </row>
    <row r="4" spans="1:40" ht="13.6" x14ac:dyDescent="0.25">
      <c r="A4" s="33" t="s">
        <v>263</v>
      </c>
      <c r="B4" s="43">
        <f>IS!C11/BS!B45</f>
        <v>0.25219122130991956</v>
      </c>
      <c r="C4" s="43">
        <f>IS!D11/BS!C45</f>
        <v>0.23883482580833698</v>
      </c>
      <c r="D4" s="43">
        <f>IS!E11/BS!D45</f>
        <v>0.13986996042262928</v>
      </c>
      <c r="E4" s="43">
        <f>IS!F11/BS!E45</f>
        <v>0.26098838382730349</v>
      </c>
      <c r="F4" s="43">
        <f>IS!G11/BS!F45</f>
        <v>0.28005261248482594</v>
      </c>
      <c r="G4" s="43">
        <f>IS!H11/BS!G45</f>
        <v>0.30455903373097437</v>
      </c>
      <c r="H4" s="43">
        <f>IS!I11/BS!H45</f>
        <v>0.24158894909649331</v>
      </c>
      <c r="I4" s="43">
        <f>IS!J11/BS!I45</f>
        <v>0.42927097398610187</v>
      </c>
      <c r="J4" s="43">
        <f>IS!K11/BS!J45</f>
        <v>0.48640688467495441</v>
      </c>
      <c r="K4" s="43">
        <f>IS!L11/BS!K45</f>
        <v>0.4176242658195925</v>
      </c>
      <c r="L4" s="43">
        <f>IS!M11/BS!L45</f>
        <v>0.41269071963019544</v>
      </c>
      <c r="AB4">
        <v>0.95</v>
      </c>
      <c r="AC4">
        <f>AB4-0.05</f>
        <v>0.89999999999999991</v>
      </c>
      <c r="AD4">
        <f t="shared" ref="AD4:AN4" si="1">AC4-0.05</f>
        <v>0.84999999999999987</v>
      </c>
      <c r="AE4">
        <f t="shared" si="1"/>
        <v>0.79999999999999982</v>
      </c>
      <c r="AF4">
        <f t="shared" si="1"/>
        <v>0.74999999999999978</v>
      </c>
      <c r="AG4">
        <f t="shared" si="1"/>
        <v>0.69999999999999973</v>
      </c>
      <c r="AH4">
        <f t="shared" si="1"/>
        <v>0.64999999999999969</v>
      </c>
      <c r="AI4">
        <f t="shared" si="1"/>
        <v>0.59999999999999964</v>
      </c>
      <c r="AJ4">
        <f t="shared" si="1"/>
        <v>0.5499999999999996</v>
      </c>
      <c r="AK4">
        <f t="shared" si="1"/>
        <v>0.49999999999999961</v>
      </c>
      <c r="AL4">
        <f t="shared" si="1"/>
        <v>0.44999999999999962</v>
      </c>
      <c r="AM4">
        <f t="shared" si="1"/>
        <v>0.39999999999999963</v>
      </c>
      <c r="AN4">
        <f t="shared" si="1"/>
        <v>0.34999999999999964</v>
      </c>
    </row>
    <row r="5" spans="1:40" ht="13.6" x14ac:dyDescent="0.25">
      <c r="A5" s="33" t="s">
        <v>266</v>
      </c>
      <c r="B5" s="43">
        <f>IS!C13/BS!B19</f>
        <v>3.2807697413370001</v>
      </c>
      <c r="C5" s="43">
        <f>IS!D13/BS!C19</f>
        <v>3.9313307817480214</v>
      </c>
      <c r="D5" s="43">
        <f>IS!E13/BS!D19</f>
        <v>2.7714270245958303</v>
      </c>
      <c r="E5" s="43">
        <f>IS!F13/BS!E19</f>
        <v>3.8462351625949429</v>
      </c>
      <c r="F5" s="43">
        <f>IS!G13/BS!F19</f>
        <v>3.94842970653532</v>
      </c>
      <c r="G5" s="43">
        <f>IS!H13/BS!G19</f>
        <v>4.096378417070011</v>
      </c>
      <c r="H5" s="43">
        <f>IS!I13/BS!H19</f>
        <v>4.2581297565793292</v>
      </c>
      <c r="I5" s="43">
        <f>IS!J13/BS!I19</f>
        <v>3.3631687270119901</v>
      </c>
      <c r="J5" s="43">
        <f>IS!K13/BS!J19</f>
        <v>3.0883816702804174</v>
      </c>
      <c r="K5" s="43">
        <f>IS!L13/BS!K19</f>
        <v>2.8857327676414068</v>
      </c>
      <c r="L5" s="43">
        <f>IS!M13/BS!L19</f>
        <v>3.3255275519963861</v>
      </c>
    </row>
    <row r="6" spans="1:40" ht="13.6" x14ac:dyDescent="0.25">
      <c r="A6" s="33" t="s">
        <v>267</v>
      </c>
      <c r="B6" s="43">
        <f>IS!C25/IS!C31</f>
        <v>15.94513477040377</v>
      </c>
      <c r="C6" s="43">
        <f>IS!D25/IS!D31</f>
        <v>16.386892737227804</v>
      </c>
      <c r="D6" s="43">
        <f>IS!E25/IS!E31</f>
        <v>9.701426219126029</v>
      </c>
      <c r="E6" s="43">
        <f>IS!F25/IS!F31</f>
        <v>8.0611290165555616</v>
      </c>
      <c r="F6" s="43">
        <f>IS!G25/IS!G31</f>
        <v>7.8022792739640456</v>
      </c>
      <c r="G6" s="43">
        <f>IS!H25/IS!H31</f>
        <v>7.7747210274909326</v>
      </c>
      <c r="H6" s="43">
        <f>IS!I25/IS!I31</f>
        <v>4.6298750593072917</v>
      </c>
      <c r="I6" s="43">
        <f>IS!J25/IS!J31</f>
        <v>11.579811740846063</v>
      </c>
      <c r="J6" s="43">
        <f>IS!K25/IS!K31</f>
        <v>31.862844142824091</v>
      </c>
      <c r="K6" s="43">
        <f>IS!L25/IS!L31</f>
        <v>24.624833031553326</v>
      </c>
      <c r="L6" s="43">
        <f>IS!M25/IS!M31</f>
        <v>24.312868765915162</v>
      </c>
    </row>
    <row r="7" spans="1:40" ht="13.6" x14ac:dyDescent="0.25">
      <c r="A7" s="33" t="s">
        <v>268</v>
      </c>
      <c r="B7" s="46">
        <f>(BS!B66/BS!B45)*100</f>
        <v>27.112403989648172</v>
      </c>
      <c r="C7" s="46">
        <f>(BS!C66/BS!C45)*100</f>
        <v>27.507714848312258</v>
      </c>
      <c r="D7" s="46">
        <f>(BS!D66/BS!D45)*100</f>
        <v>27.387159426468422</v>
      </c>
      <c r="E7" s="46">
        <f>(BS!E66/BS!E45)*100</f>
        <v>44.1139928853312</v>
      </c>
      <c r="F7" s="46">
        <f>(BS!F66/BS!F45)*100</f>
        <v>45.265346153380499</v>
      </c>
      <c r="G7" s="46">
        <f>(BS!G66/BS!G45)*100</f>
        <v>44.867544695109181</v>
      </c>
      <c r="H7" s="46">
        <f>(BS!H66/BS!H45)*100</f>
        <v>51.93510860782694</v>
      </c>
      <c r="I7" s="46">
        <f>(BS!I66/BS!I45)*100</f>
        <v>35.188985879789882</v>
      </c>
      <c r="J7" s="46">
        <f>(BS!J66/BS!J45)*100</f>
        <v>28.167216969042698</v>
      </c>
      <c r="K7" s="46">
        <f>(BS!K66/BS!K45)*100</f>
        <v>30.639766520061407</v>
      </c>
      <c r="L7" s="46">
        <f>(BS!L66/BS!L45)*100</f>
        <v>25.73234614329925</v>
      </c>
    </row>
    <row r="8" spans="1:40" ht="13.6" x14ac:dyDescent="0.25">
      <c r="A8" s="33" t="s">
        <v>269</v>
      </c>
      <c r="B8" s="43">
        <f>((IS!C25+IS!C15)/IS!C11)*100</f>
        <v>50.992792757797936</v>
      </c>
      <c r="C8" s="43">
        <f>((IS!D25+IS!D15)/IS!D11)*100</f>
        <v>48.494488034038419</v>
      </c>
      <c r="D8" s="43">
        <f>((IS!E25+IS!E15)/IS!E11)*100</f>
        <v>40.849086794366876</v>
      </c>
      <c r="E8" s="43">
        <f>((IS!F25+IS!F15)/IS!F11)*100</f>
        <v>42.550725889585969</v>
      </c>
      <c r="F8" s="43">
        <f>((IS!G25+IS!G15)/IS!G11)*100</f>
        <v>43.561036309904836</v>
      </c>
      <c r="G8" s="43">
        <f>((IS!H25+IS!H15)/IS!H11)*100</f>
        <v>44.345235561166184</v>
      </c>
      <c r="H8" s="43">
        <f>((IS!I25+IS!I15)/IS!I11)*100</f>
        <v>34.362133512207436</v>
      </c>
      <c r="I8" s="43">
        <f>((IS!J25+IS!J15)/IS!J11)*100</f>
        <v>36.838039532835737</v>
      </c>
      <c r="J8" s="43">
        <f>((IS!K25+IS!K15)/IS!K11)*100</f>
        <v>30.523898632118151</v>
      </c>
      <c r="K8" s="43">
        <f>((IS!L25+IS!L15)/IS!L11)*100</f>
        <v>33.914938461092724</v>
      </c>
      <c r="L8" s="43">
        <f>((IS!M25+IS!M15)/IS!M11)*100</f>
        <v>33.919836396780333</v>
      </c>
    </row>
    <row r="9" spans="1:40" ht="13.6" x14ac:dyDescent="0.25">
      <c r="A9" s="33" t="s">
        <v>270</v>
      </c>
      <c r="B9" s="48">
        <f>(IS!C25-IS!C41)/BS!B83</f>
        <v>7.5590746149595045E-2</v>
      </c>
      <c r="C9" s="48">
        <f>(IS!D25-IS!D41)/BS!C83</f>
        <v>6.3186272609530178E-2</v>
      </c>
      <c r="D9" s="48">
        <f>(IS!E25-IS!E41)/BS!D83</f>
        <v>3.7776161421439143E-2</v>
      </c>
      <c r="E9" s="48">
        <f>(IS!F25-IS!F41)/BS!E83</f>
        <v>6.9047902185344803E-2</v>
      </c>
      <c r="F9" s="48">
        <f>(IS!G25-IS!G41)/BS!F83</f>
        <v>7.8335442547743397E-2</v>
      </c>
      <c r="G9" s="48">
        <f>(IS!H25-IS!H41)/BS!G83</f>
        <v>8.8703568572947547E-2</v>
      </c>
      <c r="H9" s="48">
        <f>(IS!I25-IS!I41)/BS!H83</f>
        <v>5.060059237622825E-2</v>
      </c>
      <c r="I9" s="48">
        <f>(IS!J25-IS!J41)/BS!I83</f>
        <v>0.11986194208031387</v>
      </c>
      <c r="J9" s="48">
        <f>(IS!K25-IS!K41)/BS!J83</f>
        <v>0.10097380723057392</v>
      </c>
      <c r="K9" s="48">
        <f>(IS!L25-IS!L41)/BS!K83</f>
        <v>0.10635480612097632</v>
      </c>
      <c r="L9" s="48">
        <f>(IS!M25-IS!M41)/BS!L83</f>
        <v>0.10045630117130881</v>
      </c>
    </row>
    <row r="10" spans="1:40" ht="13.6" x14ac:dyDescent="0.25">
      <c r="A10" s="33" t="s">
        <v>271</v>
      </c>
      <c r="B10" s="43">
        <f>IS!$A$2/IS!C56</f>
        <v>35.160689122232831</v>
      </c>
      <c r="C10" s="43">
        <f>IS!$A$2/IS!D56</f>
        <v>43.835952848722989</v>
      </c>
      <c r="D10" s="43">
        <f>IS!$A$2/IS!E56</f>
        <v>66.334114687553594</v>
      </c>
      <c r="E10" s="43">
        <f>IS!$A$2/IS!F56</f>
        <v>70.071868583162228</v>
      </c>
      <c r="F10" s="43">
        <f>IS!$A$2/IS!G56</f>
        <v>62.99372913103673</v>
      </c>
      <c r="G10" s="43">
        <f>IS!$A$2/IS!H56</f>
        <v>57.265189279897342</v>
      </c>
      <c r="H10" s="43">
        <f>IS!$A$2/IS!I56</f>
        <v>111.02870813397131</v>
      </c>
      <c r="I10" s="43">
        <f>IS!$A$2/IS!J56</f>
        <v>83.172043010752688</v>
      </c>
      <c r="J10" s="43">
        <f>IS!$A$2/IS!K56</f>
        <v>104.05829596412556</v>
      </c>
      <c r="K10" s="43">
        <f>IS!$A$2/IS!L56</f>
        <v>115.44776119402987</v>
      </c>
      <c r="L10" s="43">
        <f>IS!$A$2/IS!M56</f>
        <v>106.04121921125989</v>
      </c>
    </row>
    <row r="11" spans="1:40" ht="13.6" x14ac:dyDescent="0.25">
      <c r="A11" s="33" t="s">
        <v>302</v>
      </c>
      <c r="B11" s="18">
        <f>(IS!$A$2)/BS!B87</f>
        <v>3.2379339344267097</v>
      </c>
      <c r="C11" s="18">
        <f>(IS!$A$2*AB4)/BS!C87</f>
        <v>3.0788980590361827</v>
      </c>
      <c r="D11" s="18">
        <f>(IS!$A$2*AC4)/BS!D87</f>
        <v>2.8877424600255526</v>
      </c>
      <c r="E11" s="18">
        <f>(IS!$A$2*AD4)/BS!E87</f>
        <v>6.0742182206991355</v>
      </c>
      <c r="F11" s="18">
        <f>(IS!$A$2*AE4)/BS!F87</f>
        <v>5.8391460579158725</v>
      </c>
      <c r="G11" s="18">
        <f>(IS!$A$2*AF4)/BS!G87</f>
        <v>5.7171338102497939</v>
      </c>
      <c r="H11" s="18">
        <f>(IS!$A$2*AG4)/BS!H87</f>
        <v>5.8927432572738274</v>
      </c>
      <c r="I11" s="18">
        <f>(IS!$A$2*AH4)/BS!I87</f>
        <v>8.9983713355048813</v>
      </c>
      <c r="J11" s="18">
        <f>(IS!$A$2*AI4)/BS!J87</f>
        <v>8.564669002578686</v>
      </c>
      <c r="K11" s="18">
        <f>(IS!$A$2*AJ4)/BS!K87</f>
        <v>8.34787028007087</v>
      </c>
      <c r="L11" s="18">
        <f>(IS!$A$2*AK4)/BS!L87</f>
        <v>7.6143930897208758</v>
      </c>
    </row>
    <row r="12" spans="1:40" ht="13.6" x14ac:dyDescent="0.25">
      <c r="A12" s="33" t="s">
        <v>301</v>
      </c>
      <c r="B12" s="47">
        <f>(IS!C50/IS!C11)*(IS!C11/BS!B45)*(BS!B45/BS!B70)</f>
        <v>9.3197459016167591E-2</v>
      </c>
      <c r="C12" s="47">
        <f>(IS!D50/IS!D11)*(IS!D11/BS!C45)*(BS!C45/BS!C70)</f>
        <v>7.537465114459567E-2</v>
      </c>
      <c r="D12" s="47">
        <f>(IS!E50/IS!E11)*(IS!E11/BS!D45)*(BS!D45/BS!D70)</f>
        <v>3.659723532055318E-2</v>
      </c>
      <c r="E12" s="47">
        <f>(IS!F50/IS!F11)*(IS!F11/BS!E45)*(BS!E45/BS!E70)</f>
        <v>0.10174750759400879</v>
      </c>
      <c r="F12" s="47">
        <f>(IS!G50/IS!G11)*(IS!G11/BS!F45)*(BS!F45/BS!F70)</f>
        <v>0.1161294873735053</v>
      </c>
      <c r="G12" s="47">
        <f>(IS!H50/IS!H11)*(IS!H11/BS!G45)*(BS!G45/BS!G70)</f>
        <v>0.1332133434586068</v>
      </c>
      <c r="H12" s="47">
        <f>(IS!I50/IS!I11)*(IS!I11/BS!H45)*(BS!H45/BS!H70)</f>
        <v>7.1349027804840592E-2</v>
      </c>
      <c r="I12" s="47">
        <f>(IS!J50/IS!J11)*(IS!J11/BS!I45)*(BS!I45/BS!I70)</f>
        <v>0.1668075339678621</v>
      </c>
      <c r="J12" s="47">
        <f>(IS!K50/IS!K11)*(IS!K11/BS!J45)*(BS!J45/BS!J70)</f>
        <v>0.13737110826245591</v>
      </c>
      <c r="K12" s="47">
        <f>(IS!L50/IS!L11)*(IS!L11/BS!K45)*(BS!K45/BS!K70)</f>
        <v>0.13226852115546009</v>
      </c>
      <c r="L12" s="47">
        <f>(IS!M50/IS!M11)*(IS!M11/BS!L45)*(BS!L45/BS!L70)</f>
        <v>0.14209857590636799</v>
      </c>
    </row>
    <row r="14" spans="1:40" ht="13.6" x14ac:dyDescent="0.25">
      <c r="A14" s="33" t="s">
        <v>298</v>
      </c>
    </row>
    <row r="15" spans="1:40" ht="13.6" x14ac:dyDescent="0.25">
      <c r="A15" s="33" t="s">
        <v>299</v>
      </c>
      <c r="B15">
        <f>('NVDA-US BS'!B23-'NVDA-US BS'!B17)/'NVDA-US BS'!B56</f>
        <v>3.6744426676700215</v>
      </c>
      <c r="C15">
        <f>('NVDA-US BS'!C23-'NVDA-US BS'!C17)/'NVDA-US BS'!C56</f>
        <v>2.7295444156635686</v>
      </c>
      <c r="D15">
        <f>('NVDA-US BS'!D23-'NVDA-US BS'!D17)/'NVDA-US BS'!D56</f>
        <v>6.0493656286043826</v>
      </c>
      <c r="E15">
        <f>('NVDA-US BS'!E23-'NVDA-US BS'!E17)/'NVDA-US BS'!E56</f>
        <v>3.6252229299363057</v>
      </c>
      <c r="F15">
        <f>('NVDA-US BS'!F23-'NVDA-US BS'!F17)/'NVDA-US BS'!F56</f>
        <v>7.125</v>
      </c>
      <c r="G15">
        <f>('NVDA-US BS'!G23-'NVDA-US BS'!G17)/'NVDA-US BS'!G56</f>
        <v>6.758465011286682</v>
      </c>
      <c r="H15">
        <f>('NVDA-US BS'!H23-'NVDA-US BS'!H17)/'NVDA-US BS'!H56</f>
        <v>7.3365134431916736</v>
      </c>
      <c r="I15">
        <f>('NVDA-US BS'!I23-'NVDA-US BS'!I17)/'NVDA-US BS'!I56</f>
        <v>4.3299776286353469</v>
      </c>
      <c r="J15">
        <f>('NVDA-US BS'!J23-'NVDA-US BS'!J17)/'NVDA-US BS'!J56</f>
        <v>2.3968524032326668</v>
      </c>
      <c r="K15">
        <f>('NVDA-US BS'!K23-'NVDA-US BS'!K17)/'NVDA-US BS'!K56</f>
        <v>5.8373090186712497</v>
      </c>
      <c r="L15">
        <f>('NVDA-US BS'!L23-'NVDA-US BS'!L17)/'NVDA-US BS'!L56</f>
        <v>5.5217990474613909</v>
      </c>
    </row>
    <row r="16" spans="1:40" ht="13.6" x14ac:dyDescent="0.25">
      <c r="A16" s="33" t="s">
        <v>265</v>
      </c>
      <c r="B16">
        <f>'NVDA-US BS'!B23/'NVDA-US BS'!B56</f>
        <v>4.1712915059730973</v>
      </c>
      <c r="C16">
        <f>'NVDA-US BS'!C23/'NVDA-US BS'!C56</f>
        <v>3.5156178576870332</v>
      </c>
      <c r="D16">
        <f>'NVDA-US BS'!D23/'NVDA-US BS'!D56</f>
        <v>6.6502883506343711</v>
      </c>
      <c r="E16">
        <f>'NVDA-US BS'!E23/'NVDA-US BS'!E56</f>
        <v>4.0904458598726112</v>
      </c>
      <c r="F16">
        <f>'NVDA-US BS'!F23/'NVDA-US BS'!F56</f>
        <v>7.6737668161434973</v>
      </c>
      <c r="G16">
        <f>'NVDA-US BS'!G23/'NVDA-US BS'!G56</f>
        <v>7.9435665914221216</v>
      </c>
      <c r="H16">
        <f>'NVDA-US BS'!H23/'NVDA-US BS'!H56</f>
        <v>8.0268863833477884</v>
      </c>
      <c r="I16">
        <f>'NVDA-US BS'!I23/'NVDA-US BS'!I56</f>
        <v>4.7740492170022373</v>
      </c>
      <c r="J16">
        <f>'NVDA-US BS'!J23/'NVDA-US BS'!J56</f>
        <v>2.5746490854955337</v>
      </c>
      <c r="K16">
        <f>'NVDA-US BS'!K23/'NVDA-US BS'!K56</f>
        <v>6.3762340546633478</v>
      </c>
      <c r="L16">
        <f>'NVDA-US BS'!L23/'NVDA-US BS'!L56</f>
        <v>5.9306557375320672</v>
      </c>
    </row>
    <row r="17" spans="1:12" ht="13.6" x14ac:dyDescent="0.25">
      <c r="A17" s="33" t="s">
        <v>300</v>
      </c>
      <c r="B17">
        <f>'NVDA-US IS'!C10/'NVDA-US BS'!B46</f>
        <v>0.92688047711781885</v>
      </c>
      <c r="C17">
        <f>'NVDA-US IS'!D10/'NVDA-US BS'!C46</f>
        <v>0.65499490068476518</v>
      </c>
      <c r="D17">
        <f>'NVDA-US IS'!E10/'NVDA-US BS'!D46</f>
        <v>0.60909317219996828</v>
      </c>
      <c r="E17">
        <f>'NVDA-US IS'!F10/'NVDA-US BS'!E46</f>
        <v>0.57917404744538226</v>
      </c>
      <c r="F17">
        <f>'NVDA-US IS'!G10/'NVDA-US BS'!F46</f>
        <v>0.63055154490326304</v>
      </c>
      <c r="G17">
        <f>'NVDA-US IS'!H10/'NVDA-US BS'!G46</f>
        <v>0.88143244056575387</v>
      </c>
      <c r="H17">
        <f>'NVDA-US IS'!I10/'NVDA-US BS'!H46</f>
        <v>0.86415799306111551</v>
      </c>
      <c r="I17">
        <f>'NVDA-US IS'!J10/'NVDA-US BS'!I46</f>
        <v>0.7021644141855502</v>
      </c>
      <c r="J17">
        <f>'NVDA-US IS'!K10/'NVDA-US BS'!J46</f>
        <v>0.67978290366350069</v>
      </c>
      <c r="K17">
        <f>'NVDA-US IS'!L10/'NVDA-US BS'!K46</f>
        <v>0.6500857892555969</v>
      </c>
      <c r="L17">
        <f>'NVDA-US IS'!M10/'NVDA-US BS'!L46</f>
        <v>0.5696072787714177</v>
      </c>
    </row>
    <row r="18" spans="1:12" ht="13.6" x14ac:dyDescent="0.25">
      <c r="A18" s="33" t="s">
        <v>266</v>
      </c>
      <c r="B18">
        <f>'NVDA-US IS'!C10/'NVDA-US BS'!B17</f>
        <v>11.533888678530859</v>
      </c>
      <c r="C18">
        <f>'NVDA-US IS'!D10/'NVDA-US BS'!C17</f>
        <v>5.2285326613684822</v>
      </c>
      <c r="D18">
        <f>'NVDA-US IS'!E10/'NVDA-US BS'!D17</f>
        <v>10.331669865642993</v>
      </c>
      <c r="E18">
        <f>'NVDA-US IS'!F10/'NVDA-US BS'!E17</f>
        <v>9.1319824753559686</v>
      </c>
      <c r="F18">
        <f>'NVDA-US IS'!G10/'NVDA-US BS'!F17</f>
        <v>11.152196118488254</v>
      </c>
      <c r="G18">
        <f>'NVDA-US IS'!H10/'NVDA-US BS'!G17</f>
        <v>7.4387301587301584</v>
      </c>
      <c r="H18">
        <f>'NVDA-US IS'!I10/'NVDA-US BS'!H17</f>
        <v>12.203517587939698</v>
      </c>
      <c r="I18">
        <f>'NVDA-US IS'!J10/'NVDA-US BS'!I17</f>
        <v>8.7027707808564223</v>
      </c>
      <c r="J18">
        <f>'NVDA-US IS'!K10/'NVDA-US BS'!J17</f>
        <v>11.985645933014354</v>
      </c>
      <c r="K18">
        <f>'NVDA-US IS'!L10/'NVDA-US BS'!K17</f>
        <v>9.6947087657100024</v>
      </c>
      <c r="L18">
        <f>'NVDA-US IS'!M10/'NVDA-US BS'!L17</f>
        <v>10.651198535195286</v>
      </c>
    </row>
    <row r="19" spans="1:12" x14ac:dyDescent="0.2">
      <c r="A19" t="str">
        <f>A12</f>
        <v>Du Pont</v>
      </c>
      <c r="B19" s="47">
        <f>('NVDA-US IS'!C51/'NVDA-US IS'!C10)*('NVDA-US IS'!C10/'NVDA-US BS'!B46)*('NVDA-US BS'!B46/'NVDA-US BS'!B72)</f>
        <v>0.69244729861789756</v>
      </c>
      <c r="C19" s="47">
        <f>('NVDA-US IS'!D51/'NVDA-US IS'!D10)*('NVDA-US IS'!D10/'NVDA-US BS'!C46)*('NVDA-US BS'!C46/'NVDA-US BS'!C72)</f>
        <v>0.19763811592235647</v>
      </c>
      <c r="D19" s="47">
        <f>('NVDA-US IS'!E51/'NVDA-US IS'!E10)*('NVDA-US IS'!E10/'NVDA-US BS'!D46)*('NVDA-US BS'!D46/'NVDA-US BS'!D72)</f>
        <v>0.36645122501127303</v>
      </c>
      <c r="E19" s="47">
        <f>('NVDA-US IS'!F51/'NVDA-US IS'!F10)*('NVDA-US IS'!F10/'NVDA-US BS'!E46)*('NVDA-US BS'!E46/'NVDA-US BS'!E72)</f>
        <v>0.25643757769490322</v>
      </c>
      <c r="F19" s="47">
        <f>('NVDA-US IS'!G51/'NVDA-US IS'!G10)*('NVDA-US IS'!G10/'NVDA-US BS'!F46)*('NVDA-US BS'!F46/'NVDA-US BS'!F72)</f>
        <v>0.22910521140609635</v>
      </c>
      <c r="G19" s="47">
        <f>('NVDA-US IS'!H51/'NVDA-US IS'!H10)*('NVDA-US IS'!H10/'NVDA-US BS'!G46)*('NVDA-US BS'!G46/'NVDA-US BS'!G72)</f>
        <v>0.44326696638835367</v>
      </c>
      <c r="H19" s="47">
        <f>('NVDA-US IS'!I51/'NVDA-US IS'!I10)*('NVDA-US IS'!I10/'NVDA-US BS'!H46)*('NVDA-US BS'!H46/'NVDA-US BS'!H72)</f>
        <v>0.40784366216035334</v>
      </c>
      <c r="I19" s="47">
        <f>('NVDA-US IS'!J51/'NVDA-US IS'!J10)*('NVDA-US IS'!J10/'NVDA-US BS'!I46)*('NVDA-US BS'!I46/'NVDA-US BS'!I72)</f>
        <v>0.2891357167650121</v>
      </c>
      <c r="J19" s="47">
        <f>('NVDA-US IS'!K51/'NVDA-US IS'!K10)*('NVDA-US IS'!K10/'NVDA-US BS'!J46)*('NVDA-US BS'!J46/'NVDA-US BS'!J72)</f>
        <v>0.13739091519355562</v>
      </c>
      <c r="K19" s="47">
        <f>('NVDA-US IS'!L51/'NVDA-US IS'!L10)*('NVDA-US IS'!L10/'NVDA-US BS'!K46)*('NVDA-US BS'!K46/'NVDA-US BS'!K72)</f>
        <v>0.14273190791632923</v>
      </c>
      <c r="L19" s="47">
        <f>('NVDA-US IS'!M51/'NVDA-US IS'!M10)*('NVDA-US IS'!M10/'NVDA-US BS'!L46)*('NVDA-US BS'!L46/'NVDA-US BS'!L72)</f>
        <v>9.8732204798583953E-2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42310-5065-7249-9FE4-ABB528746374}">
  <sheetPr>
    <outlinePr summaryBelow="0" summaryRight="0"/>
  </sheetPr>
  <dimension ref="A1:L91"/>
  <sheetViews>
    <sheetView topLeftCell="A31" workbookViewId="0"/>
  </sheetViews>
  <sheetFormatPr defaultColWidth="9.125" defaultRowHeight="14.95" customHeight="1" outlineLevelRow="3" x14ac:dyDescent="0.2"/>
  <cols>
    <col min="1" max="1" width="53.625" customWidth="1"/>
    <col min="2" max="12" width="7.875" customWidth="1"/>
  </cols>
  <sheetData>
    <row r="1" spans="1:12" ht="14.95" customHeight="1" x14ac:dyDescent="0.25">
      <c r="A1" s="33" t="s">
        <v>292</v>
      </c>
    </row>
    <row r="2" spans="1:12" ht="14.95" customHeight="1" x14ac:dyDescent="0.2">
      <c r="A2" s="35" t="s">
        <v>291</v>
      </c>
    </row>
    <row r="3" spans="1:12" ht="14.95" customHeight="1" x14ac:dyDescent="0.2">
      <c r="A3" s="34"/>
      <c r="B3" s="34"/>
      <c r="C3" s="34"/>
      <c r="D3" s="34"/>
      <c r="E3" s="34"/>
      <c r="F3" s="34"/>
      <c r="G3" s="34"/>
      <c r="H3" s="34"/>
      <c r="I3" s="34"/>
      <c r="J3" s="34"/>
      <c r="K3" s="34"/>
      <c r="L3" s="34"/>
    </row>
    <row r="5" spans="1:12" ht="14.95" customHeight="1" x14ac:dyDescent="0.25">
      <c r="A5" s="1" t="s">
        <v>290</v>
      </c>
      <c r="B5" s="1"/>
      <c r="C5" s="1"/>
      <c r="D5" s="1"/>
      <c r="E5" s="1"/>
      <c r="F5" s="1"/>
      <c r="G5" s="1"/>
      <c r="H5" s="1"/>
      <c r="I5" s="1"/>
      <c r="J5" s="1"/>
      <c r="K5" s="1"/>
      <c r="L5" s="1"/>
    </row>
    <row r="6" spans="1:12" ht="14.95" customHeight="1" x14ac:dyDescent="0.25">
      <c r="A6" s="1" t="s">
        <v>289</v>
      </c>
      <c r="B6" s="1"/>
      <c r="C6" s="1"/>
      <c r="D6" s="1"/>
      <c r="E6" s="1"/>
      <c r="F6" s="1"/>
      <c r="G6" s="1"/>
      <c r="H6" s="1"/>
      <c r="I6" s="1"/>
      <c r="J6" s="1"/>
      <c r="K6" s="1"/>
      <c r="L6" s="1"/>
    </row>
    <row r="7" spans="1:12" ht="14.95" customHeight="1" x14ac:dyDescent="0.25">
      <c r="A7" s="1" t="s">
        <v>2</v>
      </c>
      <c r="B7" s="1"/>
      <c r="C7" s="1"/>
      <c r="D7" s="1"/>
      <c r="E7" s="1"/>
      <c r="F7" s="1"/>
      <c r="G7" s="1"/>
      <c r="H7" s="1"/>
      <c r="I7" s="1"/>
      <c r="J7" s="1"/>
      <c r="K7" s="1"/>
      <c r="L7" s="1"/>
    </row>
    <row r="8" spans="1:12" ht="14.95" customHeight="1" x14ac:dyDescent="0.25">
      <c r="A8" s="1"/>
      <c r="B8" s="1" t="s">
        <v>288</v>
      </c>
      <c r="C8" s="1" t="s">
        <v>287</v>
      </c>
      <c r="D8" s="1" t="s">
        <v>286</v>
      </c>
      <c r="E8" s="1" t="s">
        <v>285</v>
      </c>
      <c r="F8" s="1" t="s">
        <v>284</v>
      </c>
      <c r="G8" s="1" t="s">
        <v>283</v>
      </c>
      <c r="H8" s="1" t="s">
        <v>282</v>
      </c>
      <c r="I8" s="1" t="s">
        <v>281</v>
      </c>
      <c r="J8" s="1" t="s">
        <v>280</v>
      </c>
      <c r="K8" s="1" t="s">
        <v>279</v>
      </c>
      <c r="L8" s="1" t="s">
        <v>278</v>
      </c>
    </row>
    <row r="9" spans="1:12" ht="14.95" customHeight="1" x14ac:dyDescent="0.25">
      <c r="A9" s="2" t="s">
        <v>158</v>
      </c>
      <c r="B9" s="2"/>
      <c r="C9" s="2"/>
      <c r="D9" s="2"/>
      <c r="E9" s="2"/>
      <c r="F9" s="2"/>
      <c r="G9" s="2"/>
      <c r="H9" s="2"/>
      <c r="I9" s="2"/>
      <c r="J9" s="2"/>
      <c r="K9" s="2"/>
      <c r="L9" s="2"/>
    </row>
    <row r="10" spans="1:12" ht="14.95" customHeight="1" outlineLevel="1" x14ac:dyDescent="0.25">
      <c r="A10" s="21" t="s">
        <v>157</v>
      </c>
      <c r="B10" s="29">
        <v>25984</v>
      </c>
      <c r="C10" s="29">
        <v>13296</v>
      </c>
      <c r="D10" s="29">
        <v>21208</v>
      </c>
      <c r="E10" s="29">
        <v>11561</v>
      </c>
      <c r="F10" s="29">
        <v>10897</v>
      </c>
      <c r="G10" s="29">
        <v>7422</v>
      </c>
      <c r="H10" s="29">
        <v>7108</v>
      </c>
      <c r="I10" s="29">
        <v>6798</v>
      </c>
      <c r="J10" s="29">
        <v>5037</v>
      </c>
      <c r="K10" s="29">
        <v>4623.3389999999999</v>
      </c>
      <c r="L10" s="29">
        <v>4671.8100000000004</v>
      </c>
    </row>
    <row r="11" spans="1:12" ht="14.95" customHeight="1" outlineLevel="2" x14ac:dyDescent="0.2">
      <c r="A11" s="9" t="s">
        <v>156</v>
      </c>
      <c r="B11" s="30">
        <v>7280</v>
      </c>
      <c r="C11" s="30">
        <v>3389</v>
      </c>
      <c r="D11" s="30">
        <v>1990</v>
      </c>
      <c r="E11" s="30">
        <v>847</v>
      </c>
      <c r="F11" s="30">
        <v>10896</v>
      </c>
      <c r="G11" s="30">
        <v>782</v>
      </c>
      <c r="H11" s="30">
        <v>4002</v>
      </c>
      <c r="I11" s="30">
        <v>1766</v>
      </c>
      <c r="J11" s="30">
        <v>596</v>
      </c>
      <c r="K11" s="30">
        <v>496.654</v>
      </c>
      <c r="L11" s="30">
        <v>1151.587</v>
      </c>
    </row>
    <row r="12" spans="1:12" ht="14.95" customHeight="1" outlineLevel="2" x14ac:dyDescent="0.2">
      <c r="A12" s="10" t="s">
        <v>155</v>
      </c>
      <c r="B12" s="31">
        <v>18704</v>
      </c>
      <c r="C12" s="31">
        <v>9907</v>
      </c>
      <c r="D12" s="31">
        <v>19218</v>
      </c>
      <c r="E12" s="31">
        <v>10714</v>
      </c>
      <c r="F12" s="31">
        <v>1</v>
      </c>
      <c r="G12" s="31">
        <v>6640</v>
      </c>
      <c r="H12" s="31">
        <v>3106</v>
      </c>
      <c r="I12" s="31">
        <v>5032</v>
      </c>
      <c r="J12" s="31">
        <v>4441</v>
      </c>
      <c r="K12" s="31">
        <v>4126.6850000000004</v>
      </c>
      <c r="L12" s="31">
        <v>3520.223</v>
      </c>
    </row>
    <row r="13" spans="1:12" ht="14.95" customHeight="1" outlineLevel="1" x14ac:dyDescent="0.25">
      <c r="A13" s="8" t="s">
        <v>154</v>
      </c>
      <c r="B13" s="37">
        <v>9999</v>
      </c>
      <c r="C13" s="37">
        <v>3827</v>
      </c>
      <c r="D13" s="37">
        <v>4650</v>
      </c>
      <c r="E13" s="37">
        <v>2429</v>
      </c>
      <c r="F13" s="37">
        <v>1657</v>
      </c>
      <c r="G13" s="37">
        <v>1424</v>
      </c>
      <c r="H13" s="37">
        <v>1265</v>
      </c>
      <c r="I13" s="37">
        <v>826</v>
      </c>
      <c r="J13" s="37">
        <v>505</v>
      </c>
      <c r="K13" s="37">
        <v>473.637</v>
      </c>
      <c r="L13" s="37">
        <v>426.35700000000003</v>
      </c>
    </row>
    <row r="14" spans="1:12" ht="14.95" customHeight="1" outlineLevel="2" x14ac:dyDescent="0.25">
      <c r="A14" s="24" t="s">
        <v>153</v>
      </c>
      <c r="B14" s="29">
        <v>9999</v>
      </c>
      <c r="C14" s="29">
        <v>3827</v>
      </c>
      <c r="D14" s="29">
        <v>4650</v>
      </c>
      <c r="E14" s="29">
        <v>2429</v>
      </c>
      <c r="F14" s="29">
        <v>1657</v>
      </c>
      <c r="G14" s="29">
        <v>1424</v>
      </c>
      <c r="H14" s="29">
        <v>1265</v>
      </c>
      <c r="I14" s="29">
        <v>826</v>
      </c>
      <c r="J14" s="29">
        <v>505</v>
      </c>
      <c r="K14" s="29">
        <v>473.637</v>
      </c>
      <c r="L14" s="29">
        <v>426.35700000000003</v>
      </c>
    </row>
    <row r="15" spans="1:12" ht="14.95" customHeight="1" outlineLevel="3" x14ac:dyDescent="0.2">
      <c r="A15" s="13" t="s">
        <v>152</v>
      </c>
      <c r="B15" s="30">
        <v>9999</v>
      </c>
      <c r="C15" s="30">
        <v>3827</v>
      </c>
      <c r="D15" s="30">
        <v>4650</v>
      </c>
      <c r="E15" s="30">
        <v>2433</v>
      </c>
      <c r="F15" s="30">
        <v>1659</v>
      </c>
      <c r="G15" s="30">
        <v>1426</v>
      </c>
      <c r="H15" s="30">
        <v>1278</v>
      </c>
      <c r="I15" s="30">
        <v>839</v>
      </c>
      <c r="J15" s="30">
        <v>516</v>
      </c>
      <c r="K15" s="30">
        <v>490.61900000000003</v>
      </c>
      <c r="L15" s="30">
        <v>441.31599999999997</v>
      </c>
    </row>
    <row r="16" spans="1:12" ht="14.95" customHeight="1" outlineLevel="3" x14ac:dyDescent="0.2">
      <c r="A16" s="14" t="s">
        <v>151</v>
      </c>
      <c r="B16" s="23"/>
      <c r="C16" s="23"/>
      <c r="D16" s="23"/>
      <c r="E16" s="38">
        <v>-4</v>
      </c>
      <c r="F16" s="38">
        <v>-2</v>
      </c>
      <c r="G16" s="38">
        <v>-2</v>
      </c>
      <c r="H16" s="38">
        <v>-13</v>
      </c>
      <c r="I16" s="38">
        <v>-13</v>
      </c>
      <c r="J16" s="38">
        <v>-11</v>
      </c>
      <c r="K16" s="38">
        <v>-16.981999999999999</v>
      </c>
      <c r="L16" s="38">
        <v>-14.959</v>
      </c>
    </row>
    <row r="17" spans="1:12" ht="14.95" customHeight="1" outlineLevel="1" x14ac:dyDescent="0.25">
      <c r="A17" s="8" t="s">
        <v>150</v>
      </c>
      <c r="B17" s="37">
        <v>5282</v>
      </c>
      <c r="C17" s="37">
        <v>5159</v>
      </c>
      <c r="D17" s="37">
        <v>2605</v>
      </c>
      <c r="E17" s="37">
        <v>1826</v>
      </c>
      <c r="F17" s="37">
        <v>979</v>
      </c>
      <c r="G17" s="37">
        <v>1575</v>
      </c>
      <c r="H17" s="37">
        <v>796</v>
      </c>
      <c r="I17" s="37">
        <v>794</v>
      </c>
      <c r="J17" s="37">
        <v>418</v>
      </c>
      <c r="K17" s="37">
        <v>482.89299999999997</v>
      </c>
      <c r="L17" s="37">
        <v>387.76499999999999</v>
      </c>
    </row>
    <row r="18" spans="1:12" ht="14.95" customHeight="1" outlineLevel="2" x14ac:dyDescent="0.2">
      <c r="A18" s="10" t="s">
        <v>149</v>
      </c>
      <c r="B18" s="31">
        <v>2058</v>
      </c>
      <c r="C18" s="31">
        <v>2263</v>
      </c>
      <c r="D18" s="31">
        <v>1122</v>
      </c>
      <c r="E18" s="31">
        <v>737</v>
      </c>
      <c r="F18" s="31">
        <v>465</v>
      </c>
      <c r="G18" s="31">
        <v>724</v>
      </c>
      <c r="H18" s="31">
        <v>377</v>
      </c>
      <c r="I18" s="31">
        <v>366</v>
      </c>
      <c r="J18" s="31">
        <v>210</v>
      </c>
      <c r="K18" s="31">
        <v>234.26900000000001</v>
      </c>
      <c r="L18" s="31">
        <v>166.02500000000001</v>
      </c>
    </row>
    <row r="19" spans="1:12" ht="14.95" customHeight="1" outlineLevel="2" x14ac:dyDescent="0.2">
      <c r="A19" s="9" t="s">
        <v>148</v>
      </c>
      <c r="B19" s="30">
        <v>1505</v>
      </c>
      <c r="C19" s="30">
        <v>466</v>
      </c>
      <c r="D19" s="30">
        <v>692</v>
      </c>
      <c r="E19" s="30">
        <v>457</v>
      </c>
      <c r="F19" s="30">
        <v>265</v>
      </c>
      <c r="G19" s="30">
        <v>238</v>
      </c>
      <c r="H19" s="30">
        <v>192</v>
      </c>
      <c r="I19" s="30">
        <v>176</v>
      </c>
      <c r="J19" s="30">
        <v>103</v>
      </c>
      <c r="K19" s="30">
        <v>91.778000000000006</v>
      </c>
      <c r="L19" s="30">
        <v>94.843999999999994</v>
      </c>
    </row>
    <row r="20" spans="1:12" ht="14.95" customHeight="1" outlineLevel="2" x14ac:dyDescent="0.2">
      <c r="A20" s="10" t="s">
        <v>147</v>
      </c>
      <c r="B20" s="31">
        <v>1719</v>
      </c>
      <c r="C20" s="31">
        <v>2430</v>
      </c>
      <c r="D20" s="31">
        <v>791</v>
      </c>
      <c r="E20" s="31">
        <v>632</v>
      </c>
      <c r="F20" s="31">
        <v>249</v>
      </c>
      <c r="G20" s="31">
        <v>613</v>
      </c>
      <c r="H20" s="31">
        <v>227</v>
      </c>
      <c r="I20" s="31">
        <v>252</v>
      </c>
      <c r="J20" s="31">
        <v>105</v>
      </c>
      <c r="K20" s="31">
        <v>156.846</v>
      </c>
      <c r="L20" s="31">
        <v>126.896</v>
      </c>
    </row>
    <row r="21" spans="1:12" ht="14.95" customHeight="1" outlineLevel="1" x14ac:dyDescent="0.25">
      <c r="A21" s="8" t="s">
        <v>146</v>
      </c>
      <c r="B21" s="37">
        <v>3080</v>
      </c>
      <c r="C21" s="37">
        <v>791</v>
      </c>
      <c r="D21" s="37">
        <v>366</v>
      </c>
      <c r="E21" s="37">
        <v>239</v>
      </c>
      <c r="F21" s="37">
        <v>157</v>
      </c>
      <c r="G21" s="37">
        <v>136</v>
      </c>
      <c r="H21" s="37">
        <v>86</v>
      </c>
      <c r="I21" s="37">
        <v>118</v>
      </c>
      <c r="J21" s="37">
        <v>93</v>
      </c>
      <c r="K21" s="37">
        <v>133.428</v>
      </c>
      <c r="L21" s="37">
        <v>138.779</v>
      </c>
    </row>
    <row r="22" spans="1:12" ht="14.95" customHeight="1" outlineLevel="2" x14ac:dyDescent="0.2">
      <c r="A22" s="10" t="s">
        <v>144</v>
      </c>
      <c r="B22" s="31">
        <v>3080</v>
      </c>
      <c r="C22" s="31">
        <v>791</v>
      </c>
      <c r="D22" s="31">
        <v>366</v>
      </c>
      <c r="E22" s="31">
        <v>239</v>
      </c>
      <c r="F22" s="31">
        <v>157</v>
      </c>
      <c r="G22" s="31">
        <v>136</v>
      </c>
      <c r="H22" s="31">
        <v>86</v>
      </c>
      <c r="I22" s="31">
        <v>118</v>
      </c>
      <c r="J22" s="31">
        <v>93</v>
      </c>
      <c r="K22" s="31">
        <v>133.428</v>
      </c>
      <c r="L22" s="31">
        <v>138.779</v>
      </c>
    </row>
    <row r="23" spans="1:12" ht="14.95" customHeight="1" outlineLevel="1" x14ac:dyDescent="0.25">
      <c r="A23" s="8" t="s">
        <v>143</v>
      </c>
      <c r="B23" s="37">
        <v>44345</v>
      </c>
      <c r="C23" s="37">
        <v>23073</v>
      </c>
      <c r="D23" s="37">
        <v>28829</v>
      </c>
      <c r="E23" s="37">
        <v>16055</v>
      </c>
      <c r="F23" s="37">
        <v>13690</v>
      </c>
      <c r="G23" s="37">
        <v>10557</v>
      </c>
      <c r="H23" s="37">
        <v>9255</v>
      </c>
      <c r="I23" s="37">
        <v>8536</v>
      </c>
      <c r="J23" s="37">
        <v>6053</v>
      </c>
      <c r="K23" s="37">
        <v>5713.2969999999996</v>
      </c>
      <c r="L23" s="37">
        <v>5624.7110000000002</v>
      </c>
    </row>
    <row r="24" spans="1:12" ht="14.95" customHeight="1" outlineLevel="2" x14ac:dyDescent="0.2">
      <c r="A24" s="10" t="s">
        <v>18</v>
      </c>
      <c r="B24" s="7">
        <v>92.194336000000007</v>
      </c>
      <c r="C24" s="6">
        <v>-19.966007000000001</v>
      </c>
      <c r="D24" s="7">
        <v>79.563995000000006</v>
      </c>
      <c r="E24" s="7">
        <v>17.275383000000001</v>
      </c>
      <c r="F24" s="7">
        <v>29.676991999999998</v>
      </c>
      <c r="G24" s="7">
        <v>14.068071</v>
      </c>
      <c r="H24" s="7">
        <v>8.4231490000000004</v>
      </c>
      <c r="I24" s="7">
        <v>41.020980999999999</v>
      </c>
      <c r="J24" s="7">
        <v>5.9458339999999996</v>
      </c>
      <c r="K24" s="7">
        <v>1.5749420000000001</v>
      </c>
      <c r="L24" s="7">
        <v>17.788633000000001</v>
      </c>
    </row>
    <row r="25" spans="1:12" ht="14.95" customHeight="1" outlineLevel="2" x14ac:dyDescent="0.2">
      <c r="A25" s="9" t="s">
        <v>142</v>
      </c>
      <c r="B25" s="20">
        <v>67.467442000000005</v>
      </c>
      <c r="C25" s="20">
        <v>56.026904999999999</v>
      </c>
      <c r="D25" s="20">
        <v>65.243171000000004</v>
      </c>
      <c r="E25" s="20">
        <v>55.763953999999998</v>
      </c>
      <c r="F25" s="20">
        <v>79.064395000000005</v>
      </c>
      <c r="G25" s="20">
        <v>79.423714000000004</v>
      </c>
      <c r="H25" s="20">
        <v>82.332532999999998</v>
      </c>
      <c r="I25" s="20">
        <v>86.739153000000002</v>
      </c>
      <c r="J25" s="20">
        <v>82.130257999999998</v>
      </c>
      <c r="K25" s="20">
        <v>79.336273000000006</v>
      </c>
      <c r="L25" s="20">
        <v>77.572654999999997</v>
      </c>
    </row>
    <row r="26" spans="1:12" ht="14.95" customHeight="1" outlineLevel="1" x14ac:dyDescent="0.25">
      <c r="A26" s="21" t="s">
        <v>141</v>
      </c>
      <c r="B26" s="29">
        <v>5260</v>
      </c>
      <c r="C26" s="29">
        <v>4845</v>
      </c>
      <c r="D26" s="29">
        <v>3607</v>
      </c>
      <c r="E26" s="29">
        <v>2856</v>
      </c>
      <c r="F26" s="29">
        <v>2292</v>
      </c>
      <c r="G26" s="29">
        <v>1404</v>
      </c>
      <c r="H26" s="29">
        <v>997</v>
      </c>
      <c r="I26" s="29">
        <v>521</v>
      </c>
      <c r="J26" s="29">
        <v>466</v>
      </c>
      <c r="K26" s="29">
        <v>557.28200000000004</v>
      </c>
      <c r="L26" s="29">
        <v>582.74</v>
      </c>
    </row>
    <row r="27" spans="1:12" ht="14.95" customHeight="1" outlineLevel="2" x14ac:dyDescent="0.25">
      <c r="A27" s="12" t="s">
        <v>140</v>
      </c>
      <c r="B27" s="37">
        <v>8769</v>
      </c>
      <c r="C27" s="37">
        <v>7539</v>
      </c>
      <c r="D27" s="37">
        <v>5510</v>
      </c>
      <c r="E27" s="37">
        <v>4264</v>
      </c>
      <c r="F27" s="37">
        <v>3303</v>
      </c>
      <c r="G27" s="37">
        <v>2171</v>
      </c>
      <c r="H27" s="37">
        <v>1737</v>
      </c>
      <c r="I27" s="37">
        <v>1191</v>
      </c>
      <c r="J27" s="37">
        <v>1100</v>
      </c>
      <c r="K27" s="37">
        <v>1179.2570000000001</v>
      </c>
      <c r="L27" s="37">
        <v>1282.82</v>
      </c>
    </row>
    <row r="28" spans="1:12" ht="14.95" customHeight="1" outlineLevel="3" x14ac:dyDescent="0.2">
      <c r="A28" s="14" t="s">
        <v>139</v>
      </c>
      <c r="B28" s="23"/>
      <c r="C28" s="23"/>
      <c r="D28" s="23"/>
      <c r="E28" s="31">
        <v>341</v>
      </c>
      <c r="F28" s="31">
        <v>340</v>
      </c>
      <c r="G28" s="31">
        <v>339</v>
      </c>
      <c r="H28" s="31">
        <v>348</v>
      </c>
      <c r="I28" s="31">
        <v>13</v>
      </c>
      <c r="J28" s="31">
        <v>13</v>
      </c>
      <c r="K28" s="31">
        <v>19.268000000000001</v>
      </c>
      <c r="L28" s="31">
        <v>19.268000000000001</v>
      </c>
    </row>
    <row r="29" spans="1:12" ht="14.95" customHeight="1" outlineLevel="3" x14ac:dyDescent="0.2">
      <c r="A29" s="13" t="s">
        <v>277</v>
      </c>
      <c r="B29" s="30">
        <v>218</v>
      </c>
      <c r="C29" s="30">
        <v>218</v>
      </c>
      <c r="D29" s="30">
        <v>218</v>
      </c>
      <c r="E29" s="30">
        <v>218</v>
      </c>
      <c r="F29" s="30">
        <v>218</v>
      </c>
      <c r="G29" s="30">
        <v>218</v>
      </c>
      <c r="H29" s="30">
        <v>218</v>
      </c>
      <c r="I29" s="30">
        <v>218</v>
      </c>
      <c r="J29" s="30">
        <v>218</v>
      </c>
      <c r="K29" s="30">
        <v>218.49600000000001</v>
      </c>
      <c r="L29" s="30">
        <v>218.49600000000001</v>
      </c>
    </row>
    <row r="30" spans="1:12" ht="14.95" customHeight="1" outlineLevel="3" x14ac:dyDescent="0.2">
      <c r="A30" s="14" t="s">
        <v>138</v>
      </c>
      <c r="B30" s="23"/>
      <c r="C30" s="23"/>
      <c r="D30" s="23"/>
      <c r="E30" s="31">
        <v>782</v>
      </c>
      <c r="F30" s="31">
        <v>532</v>
      </c>
      <c r="G30" s="31">
        <v>516</v>
      </c>
      <c r="H30" s="31">
        <v>462</v>
      </c>
      <c r="I30" s="31">
        <v>427</v>
      </c>
      <c r="J30" s="31">
        <v>354</v>
      </c>
      <c r="K30" s="31">
        <v>397.31900000000002</v>
      </c>
      <c r="L30" s="31">
        <v>412.86200000000002</v>
      </c>
    </row>
    <row r="31" spans="1:12" ht="14.95" customHeight="1" outlineLevel="3" x14ac:dyDescent="0.2">
      <c r="A31" s="13" t="s">
        <v>276</v>
      </c>
      <c r="B31" s="30">
        <v>189</v>
      </c>
      <c r="C31" s="30">
        <v>382</v>
      </c>
      <c r="D31" s="30">
        <v>737</v>
      </c>
      <c r="E31" s="30">
        <v>558</v>
      </c>
      <c r="F31" s="30">
        <v>320</v>
      </c>
      <c r="G31" s="30">
        <v>107</v>
      </c>
      <c r="H31" s="30">
        <v>31</v>
      </c>
      <c r="I31" s="30">
        <v>29</v>
      </c>
      <c r="J31" s="30">
        <v>12</v>
      </c>
      <c r="K31" s="30">
        <v>27.61</v>
      </c>
      <c r="L31" s="30">
        <v>41.176000000000002</v>
      </c>
    </row>
    <row r="32" spans="1:12" ht="14.95" customHeight="1" outlineLevel="3" x14ac:dyDescent="0.2">
      <c r="A32" s="14" t="s">
        <v>275</v>
      </c>
      <c r="B32" s="23"/>
      <c r="C32" s="23"/>
      <c r="D32" s="23"/>
      <c r="E32" s="23"/>
      <c r="F32" s="23"/>
      <c r="G32" s="31">
        <v>28</v>
      </c>
      <c r="H32" s="31">
        <v>28</v>
      </c>
      <c r="I32" s="31">
        <v>28</v>
      </c>
      <c r="J32" s="31">
        <v>28</v>
      </c>
      <c r="K32" s="31">
        <v>28.481000000000002</v>
      </c>
      <c r="L32" s="31">
        <v>28.481000000000002</v>
      </c>
    </row>
    <row r="33" spans="1:12" ht="14.95" customHeight="1" outlineLevel="3" x14ac:dyDescent="0.2">
      <c r="A33" s="13" t="s">
        <v>274</v>
      </c>
      <c r="B33" s="30">
        <v>5200</v>
      </c>
      <c r="C33" s="30">
        <v>4303</v>
      </c>
      <c r="D33" s="30">
        <v>2852</v>
      </c>
      <c r="E33" s="30">
        <v>1187</v>
      </c>
      <c r="F33" s="30">
        <v>908</v>
      </c>
      <c r="G33" s="30">
        <v>631</v>
      </c>
      <c r="H33" s="30">
        <v>373</v>
      </c>
      <c r="I33" s="30">
        <v>251</v>
      </c>
      <c r="J33" s="30">
        <v>253</v>
      </c>
      <c r="K33" s="30">
        <v>265.7</v>
      </c>
      <c r="L33" s="30">
        <v>324.779</v>
      </c>
    </row>
    <row r="34" spans="1:12" ht="14.95" customHeight="1" outlineLevel="3" x14ac:dyDescent="0.2">
      <c r="A34" s="14" t="s">
        <v>137</v>
      </c>
      <c r="B34" s="31">
        <v>1816</v>
      </c>
      <c r="C34" s="31">
        <v>1598</v>
      </c>
      <c r="D34" s="31">
        <v>874</v>
      </c>
      <c r="E34" s="31">
        <v>471</v>
      </c>
      <c r="F34" s="31">
        <v>367</v>
      </c>
      <c r="G34" s="31">
        <v>332</v>
      </c>
      <c r="H34" s="31">
        <v>277</v>
      </c>
      <c r="I34" s="31">
        <v>225</v>
      </c>
      <c r="J34" s="31">
        <v>222</v>
      </c>
      <c r="K34" s="31">
        <v>222.38300000000001</v>
      </c>
      <c r="L34" s="31">
        <v>237.75800000000001</v>
      </c>
    </row>
    <row r="35" spans="1:12" ht="14.95" customHeight="1" outlineLevel="3" x14ac:dyDescent="0.2">
      <c r="A35" s="13" t="s">
        <v>136</v>
      </c>
      <c r="B35" s="30">
        <v>1346</v>
      </c>
      <c r="C35" s="30">
        <v>1038</v>
      </c>
      <c r="D35" s="30">
        <v>829</v>
      </c>
      <c r="E35" s="30">
        <v>707</v>
      </c>
      <c r="F35" s="30">
        <v>618</v>
      </c>
      <c r="G35" s="25"/>
      <c r="H35" s="25"/>
      <c r="I35" s="25"/>
      <c r="J35" s="25"/>
      <c r="K35" s="25"/>
      <c r="L35" s="25"/>
    </row>
    <row r="36" spans="1:12" ht="14.95" customHeight="1" outlineLevel="2" x14ac:dyDescent="0.2">
      <c r="A36" s="10" t="s">
        <v>135</v>
      </c>
      <c r="B36" s="31">
        <v>3509</v>
      </c>
      <c r="C36" s="31">
        <v>2694</v>
      </c>
      <c r="D36" s="31">
        <v>1903</v>
      </c>
      <c r="E36" s="31">
        <v>1408</v>
      </c>
      <c r="F36" s="31">
        <v>1011</v>
      </c>
      <c r="G36" s="31">
        <v>767</v>
      </c>
      <c r="H36" s="31">
        <v>740</v>
      </c>
      <c r="I36" s="31">
        <v>670</v>
      </c>
      <c r="J36" s="31">
        <v>634</v>
      </c>
      <c r="K36" s="31">
        <v>621.97500000000002</v>
      </c>
      <c r="L36" s="31">
        <v>700.08</v>
      </c>
    </row>
    <row r="37" spans="1:12" ht="14.95" customHeight="1" outlineLevel="1" x14ac:dyDescent="0.25">
      <c r="A37" s="8" t="s">
        <v>134</v>
      </c>
      <c r="B37" s="37">
        <v>1546</v>
      </c>
      <c r="C37" s="37">
        <v>299</v>
      </c>
      <c r="D37" s="37">
        <v>266</v>
      </c>
      <c r="E37" s="37">
        <v>0</v>
      </c>
      <c r="F37" s="37">
        <v>0</v>
      </c>
      <c r="G37" s="37">
        <v>0</v>
      </c>
      <c r="H37" s="37">
        <v>0</v>
      </c>
      <c r="I37" s="37">
        <v>0</v>
      </c>
      <c r="J37" s="37">
        <v>0</v>
      </c>
      <c r="K37" s="37">
        <v>0</v>
      </c>
      <c r="L37" s="37">
        <v>0</v>
      </c>
    </row>
    <row r="38" spans="1:12" ht="14.95" customHeight="1" outlineLevel="2" x14ac:dyDescent="0.2">
      <c r="A38" s="10" t="s">
        <v>133</v>
      </c>
      <c r="B38" s="31">
        <v>1546</v>
      </c>
      <c r="C38" s="31">
        <v>299</v>
      </c>
      <c r="D38" s="31">
        <v>266</v>
      </c>
      <c r="E38" s="31">
        <v>0</v>
      </c>
      <c r="F38" s="31">
        <v>0</v>
      </c>
      <c r="G38" s="31">
        <v>0</v>
      </c>
      <c r="H38" s="31">
        <v>0</v>
      </c>
      <c r="I38" s="31">
        <v>0</v>
      </c>
      <c r="J38" s="31">
        <v>0</v>
      </c>
      <c r="K38" s="31">
        <v>0</v>
      </c>
      <c r="L38" s="31">
        <v>0</v>
      </c>
    </row>
    <row r="39" spans="1:12" ht="14.95" customHeight="1" outlineLevel="1" x14ac:dyDescent="0.25">
      <c r="A39" s="8" t="s">
        <v>132</v>
      </c>
      <c r="B39" s="37">
        <v>5542</v>
      </c>
      <c r="C39" s="37">
        <v>6048</v>
      </c>
      <c r="D39" s="37">
        <v>6688</v>
      </c>
      <c r="E39" s="37">
        <v>6930</v>
      </c>
      <c r="F39" s="37">
        <v>667</v>
      </c>
      <c r="G39" s="37">
        <v>663</v>
      </c>
      <c r="H39" s="37">
        <v>670</v>
      </c>
      <c r="I39" s="37">
        <v>722</v>
      </c>
      <c r="J39" s="37">
        <v>784</v>
      </c>
      <c r="K39" s="37">
        <v>839.89300000000003</v>
      </c>
      <c r="L39" s="37">
        <v>939.19100000000003</v>
      </c>
    </row>
    <row r="40" spans="1:12" ht="14.95" customHeight="1" outlineLevel="2" x14ac:dyDescent="0.2">
      <c r="A40" s="10" t="s">
        <v>131</v>
      </c>
      <c r="B40" s="31">
        <v>4430</v>
      </c>
      <c r="C40" s="31">
        <v>4372</v>
      </c>
      <c r="D40" s="31">
        <v>4349</v>
      </c>
      <c r="E40" s="31">
        <v>4193</v>
      </c>
      <c r="F40" s="31">
        <v>618</v>
      </c>
      <c r="G40" s="31">
        <v>618</v>
      </c>
      <c r="H40" s="31">
        <v>618</v>
      </c>
      <c r="I40" s="31">
        <v>618</v>
      </c>
      <c r="J40" s="31">
        <v>618</v>
      </c>
      <c r="K40" s="31">
        <v>618.17899999999997</v>
      </c>
      <c r="L40" s="31">
        <v>643.17899999999997</v>
      </c>
    </row>
    <row r="41" spans="1:12" ht="14.95" customHeight="1" outlineLevel="2" x14ac:dyDescent="0.2">
      <c r="A41" s="9" t="s">
        <v>130</v>
      </c>
      <c r="B41" s="30">
        <v>1112</v>
      </c>
      <c r="C41" s="30">
        <v>1676</v>
      </c>
      <c r="D41" s="30">
        <v>2339</v>
      </c>
      <c r="E41" s="30">
        <v>2737</v>
      </c>
      <c r="F41" s="30">
        <v>49</v>
      </c>
      <c r="G41" s="30">
        <v>45</v>
      </c>
      <c r="H41" s="30">
        <v>52</v>
      </c>
      <c r="I41" s="30">
        <v>104</v>
      </c>
      <c r="J41" s="30">
        <v>166</v>
      </c>
      <c r="K41" s="30">
        <v>221.714</v>
      </c>
      <c r="L41" s="30">
        <v>296.012</v>
      </c>
    </row>
    <row r="42" spans="1:12" ht="14.95" customHeight="1" outlineLevel="1" x14ac:dyDescent="0.2">
      <c r="A42" s="5" t="s">
        <v>129</v>
      </c>
      <c r="B42" s="31">
        <v>6081</v>
      </c>
      <c r="C42" s="31">
        <v>3396</v>
      </c>
      <c r="D42" s="31">
        <v>1222</v>
      </c>
      <c r="E42" s="31">
        <v>806</v>
      </c>
      <c r="F42" s="31">
        <v>548</v>
      </c>
      <c r="G42" s="23"/>
      <c r="H42" s="23"/>
      <c r="I42" s="23"/>
      <c r="J42" s="23"/>
      <c r="K42" s="23"/>
      <c r="L42" s="23"/>
    </row>
    <row r="43" spans="1:12" ht="14.95" customHeight="1" outlineLevel="1" x14ac:dyDescent="0.25">
      <c r="A43" s="8" t="s">
        <v>128</v>
      </c>
      <c r="B43" s="37">
        <v>2954</v>
      </c>
      <c r="C43" s="37">
        <v>3521</v>
      </c>
      <c r="D43" s="37">
        <v>3575</v>
      </c>
      <c r="E43" s="37">
        <v>2144</v>
      </c>
      <c r="F43" s="37">
        <v>118</v>
      </c>
      <c r="G43" s="37">
        <v>668</v>
      </c>
      <c r="H43" s="37">
        <v>319</v>
      </c>
      <c r="I43" s="37">
        <v>62</v>
      </c>
      <c r="J43" s="37">
        <v>67</v>
      </c>
      <c r="K43" s="37">
        <v>90.896000000000001</v>
      </c>
      <c r="L43" s="37">
        <v>104.252</v>
      </c>
    </row>
    <row r="44" spans="1:12" ht="14.95" customHeight="1" outlineLevel="2" x14ac:dyDescent="0.2">
      <c r="A44" s="10" t="s">
        <v>127</v>
      </c>
      <c r="B44" s="31">
        <v>2822</v>
      </c>
      <c r="C44" s="31">
        <v>3376</v>
      </c>
      <c r="D44" s="31">
        <v>2156</v>
      </c>
      <c r="E44" s="23"/>
      <c r="F44" s="23"/>
      <c r="G44" s="23"/>
      <c r="H44" s="23"/>
      <c r="I44" s="23"/>
      <c r="J44" s="23"/>
      <c r="K44" s="23"/>
      <c r="L44" s="23"/>
    </row>
    <row r="45" spans="1:12" ht="14.95" customHeight="1" outlineLevel="2" x14ac:dyDescent="0.2">
      <c r="A45" s="9" t="s">
        <v>126</v>
      </c>
      <c r="B45" s="30">
        <v>132</v>
      </c>
      <c r="C45" s="30">
        <v>145</v>
      </c>
      <c r="D45" s="30">
        <v>1419</v>
      </c>
      <c r="E45" s="30">
        <v>2144</v>
      </c>
      <c r="F45" s="30">
        <v>118</v>
      </c>
      <c r="G45" s="30">
        <v>668</v>
      </c>
      <c r="H45" s="30">
        <v>319</v>
      </c>
      <c r="I45" s="30">
        <v>62</v>
      </c>
      <c r="J45" s="30">
        <v>67</v>
      </c>
      <c r="K45" s="30">
        <v>90.896000000000001</v>
      </c>
      <c r="L45" s="30">
        <v>104.252</v>
      </c>
    </row>
    <row r="46" spans="1:12" ht="14.95" customHeight="1" outlineLevel="1" x14ac:dyDescent="0.25">
      <c r="A46" s="21" t="s">
        <v>125</v>
      </c>
      <c r="B46" s="29">
        <v>65728</v>
      </c>
      <c r="C46" s="29">
        <v>41182</v>
      </c>
      <c r="D46" s="29">
        <v>44187</v>
      </c>
      <c r="E46" s="29">
        <v>28791</v>
      </c>
      <c r="F46" s="29">
        <v>17315</v>
      </c>
      <c r="G46" s="29">
        <v>13292</v>
      </c>
      <c r="H46" s="29">
        <v>11241</v>
      </c>
      <c r="I46" s="29">
        <v>9841</v>
      </c>
      <c r="J46" s="29">
        <v>7370</v>
      </c>
      <c r="K46" s="29">
        <v>7201.3680000000004</v>
      </c>
      <c r="L46" s="29">
        <v>7250.8940000000002</v>
      </c>
    </row>
    <row r="47" spans="1:12" ht="14.95" customHeight="1" outlineLevel="2" x14ac:dyDescent="0.2">
      <c r="A47" s="9" t="s">
        <v>18</v>
      </c>
      <c r="B47" s="20">
        <v>59.60371</v>
      </c>
      <c r="C47" s="19">
        <v>-6.8006419999999999</v>
      </c>
      <c r="D47" s="20">
        <v>53.475043999999997</v>
      </c>
      <c r="E47" s="20">
        <v>66.277794</v>
      </c>
      <c r="F47" s="20">
        <v>30.266324999999998</v>
      </c>
      <c r="G47" s="20">
        <v>18.245708</v>
      </c>
      <c r="H47" s="20">
        <v>14.226196</v>
      </c>
      <c r="I47" s="20">
        <v>33.527816999999999</v>
      </c>
      <c r="J47" s="20">
        <v>2.3416640000000002</v>
      </c>
      <c r="K47" s="19">
        <v>-0.68303100000000005</v>
      </c>
      <c r="L47" s="20">
        <v>13.078865</v>
      </c>
    </row>
    <row r="48" spans="1:12" ht="14.95" customHeight="1" x14ac:dyDescent="0.25">
      <c r="A48" s="16" t="s">
        <v>124</v>
      </c>
      <c r="B48" s="16"/>
      <c r="C48" s="16"/>
      <c r="D48" s="16"/>
      <c r="E48" s="16"/>
      <c r="F48" s="16"/>
      <c r="G48" s="16"/>
      <c r="H48" s="16"/>
      <c r="I48" s="16"/>
      <c r="J48" s="16"/>
      <c r="K48" s="16"/>
      <c r="L48" s="16"/>
    </row>
    <row r="49" spans="1:12" ht="14.95" customHeight="1" outlineLevel="1" x14ac:dyDescent="0.25">
      <c r="A49" s="8" t="s">
        <v>123</v>
      </c>
      <c r="B49" s="2"/>
      <c r="C49" s="2"/>
      <c r="D49" s="2"/>
      <c r="E49" s="2"/>
      <c r="F49" s="2"/>
      <c r="G49" s="2"/>
      <c r="H49" s="2"/>
      <c r="I49" s="2"/>
      <c r="J49" s="2"/>
      <c r="K49" s="2"/>
      <c r="L49" s="2"/>
    </row>
    <row r="50" spans="1:12" ht="14.95" customHeight="1" outlineLevel="2" x14ac:dyDescent="0.2">
      <c r="A50" s="10" t="s">
        <v>122</v>
      </c>
      <c r="B50" s="31">
        <v>1478</v>
      </c>
      <c r="C50" s="31">
        <v>1426</v>
      </c>
      <c r="D50" s="31">
        <v>144</v>
      </c>
      <c r="E50" s="31">
        <v>1120</v>
      </c>
      <c r="F50" s="31">
        <v>91</v>
      </c>
      <c r="G50" s="31">
        <v>0</v>
      </c>
      <c r="H50" s="31">
        <v>20</v>
      </c>
      <c r="I50" s="31">
        <v>800</v>
      </c>
      <c r="J50" s="31">
        <v>1413</v>
      </c>
      <c r="K50" s="31">
        <v>0</v>
      </c>
      <c r="L50" s="31">
        <v>2.9169999999999998</v>
      </c>
    </row>
    <row r="51" spans="1:12" ht="14.95" customHeight="1" outlineLevel="2" x14ac:dyDescent="0.2">
      <c r="A51" s="9" t="s">
        <v>121</v>
      </c>
      <c r="B51" s="30">
        <v>2699</v>
      </c>
      <c r="C51" s="30">
        <v>1193</v>
      </c>
      <c r="D51" s="30">
        <v>1783</v>
      </c>
      <c r="E51" s="30">
        <v>1201</v>
      </c>
      <c r="F51" s="30">
        <v>687</v>
      </c>
      <c r="G51" s="30">
        <v>511</v>
      </c>
      <c r="H51" s="30">
        <v>596</v>
      </c>
      <c r="I51" s="30">
        <v>485</v>
      </c>
      <c r="J51" s="30">
        <v>296</v>
      </c>
      <c r="K51" s="30">
        <v>293.22300000000001</v>
      </c>
      <c r="L51" s="30">
        <v>324.39100000000002</v>
      </c>
    </row>
    <row r="52" spans="1:12" ht="14.95" customHeight="1" outlineLevel="2" x14ac:dyDescent="0.2">
      <c r="A52" s="10" t="s">
        <v>120</v>
      </c>
      <c r="B52" s="31">
        <v>296</v>
      </c>
      <c r="C52" s="31">
        <v>467</v>
      </c>
      <c r="D52" s="23"/>
      <c r="E52" s="31">
        <v>61</v>
      </c>
      <c r="F52" s="31">
        <v>61</v>
      </c>
      <c r="G52" s="31">
        <v>91</v>
      </c>
      <c r="H52" s="31">
        <v>33</v>
      </c>
      <c r="I52" s="31">
        <v>4</v>
      </c>
      <c r="J52" s="31">
        <v>2</v>
      </c>
      <c r="K52" s="31">
        <v>2.81</v>
      </c>
      <c r="L52" s="31">
        <v>2.3780000000000001</v>
      </c>
    </row>
    <row r="53" spans="1:12" ht="14.95" customHeight="1" outlineLevel="2" x14ac:dyDescent="0.25">
      <c r="A53" s="12" t="s">
        <v>119</v>
      </c>
      <c r="B53" s="37">
        <v>6158</v>
      </c>
      <c r="C53" s="37">
        <v>3477</v>
      </c>
      <c r="D53" s="37">
        <v>2408</v>
      </c>
      <c r="E53" s="37">
        <v>1543</v>
      </c>
      <c r="F53" s="37">
        <v>945</v>
      </c>
      <c r="G53" s="37">
        <v>727</v>
      </c>
      <c r="H53" s="37">
        <v>504</v>
      </c>
      <c r="I53" s="37">
        <v>499</v>
      </c>
      <c r="J53" s="37">
        <v>640</v>
      </c>
      <c r="K53" s="37">
        <v>599.99699999999996</v>
      </c>
      <c r="L53" s="37">
        <v>618.72699999999998</v>
      </c>
    </row>
    <row r="54" spans="1:12" ht="14.95" customHeight="1" outlineLevel="3" x14ac:dyDescent="0.2">
      <c r="A54" s="14" t="s">
        <v>118</v>
      </c>
      <c r="B54" s="31">
        <v>675</v>
      </c>
      <c r="C54" s="31">
        <v>530</v>
      </c>
      <c r="D54" s="31">
        <v>409</v>
      </c>
      <c r="E54" s="31">
        <v>323</v>
      </c>
      <c r="F54" s="31">
        <v>185</v>
      </c>
      <c r="G54" s="31">
        <v>210</v>
      </c>
      <c r="H54" s="31">
        <v>172</v>
      </c>
      <c r="I54" s="31">
        <v>137</v>
      </c>
      <c r="J54" s="31">
        <v>79</v>
      </c>
      <c r="K54" s="31">
        <v>112.173</v>
      </c>
      <c r="L54" s="31">
        <v>109.721</v>
      </c>
    </row>
    <row r="55" spans="1:12" ht="14.95" customHeight="1" outlineLevel="3" x14ac:dyDescent="0.2">
      <c r="A55" s="13" t="s">
        <v>117</v>
      </c>
      <c r="B55" s="30">
        <v>5483</v>
      </c>
      <c r="C55" s="30">
        <v>2947</v>
      </c>
      <c r="D55" s="30">
        <v>1999</v>
      </c>
      <c r="E55" s="30">
        <v>1220</v>
      </c>
      <c r="F55" s="30">
        <v>760</v>
      </c>
      <c r="G55" s="30">
        <v>517</v>
      </c>
      <c r="H55" s="30">
        <v>332</v>
      </c>
      <c r="I55" s="30">
        <v>362</v>
      </c>
      <c r="J55" s="30">
        <v>561</v>
      </c>
      <c r="K55" s="30">
        <v>487.82400000000001</v>
      </c>
      <c r="L55" s="30">
        <v>509.00599999999997</v>
      </c>
    </row>
    <row r="56" spans="1:12" ht="14.95" customHeight="1" outlineLevel="2" x14ac:dyDescent="0.25">
      <c r="A56" s="24" t="s">
        <v>116</v>
      </c>
      <c r="B56" s="29">
        <v>10631</v>
      </c>
      <c r="C56" s="29">
        <v>6563</v>
      </c>
      <c r="D56" s="29">
        <v>4335</v>
      </c>
      <c r="E56" s="29">
        <v>3925</v>
      </c>
      <c r="F56" s="29">
        <v>1784</v>
      </c>
      <c r="G56" s="29">
        <v>1329</v>
      </c>
      <c r="H56" s="29">
        <v>1153</v>
      </c>
      <c r="I56" s="29">
        <v>1788</v>
      </c>
      <c r="J56" s="29">
        <v>2351</v>
      </c>
      <c r="K56" s="29">
        <v>896.03</v>
      </c>
      <c r="L56" s="29">
        <v>948.41300000000001</v>
      </c>
    </row>
    <row r="57" spans="1:12" ht="14.95" customHeight="1" outlineLevel="3" x14ac:dyDescent="0.2">
      <c r="A57" s="13" t="s">
        <v>18</v>
      </c>
      <c r="B57" s="20">
        <v>61.983848999999999</v>
      </c>
      <c r="C57" s="20">
        <v>51.395617999999999</v>
      </c>
      <c r="D57" s="20">
        <v>10.44586</v>
      </c>
      <c r="E57" s="20">
        <v>120.011208</v>
      </c>
      <c r="F57" s="20">
        <v>34.236266999999998</v>
      </c>
      <c r="G57" s="20">
        <v>15.264526999999999</v>
      </c>
      <c r="H57" s="19">
        <v>-35.514541999999999</v>
      </c>
      <c r="I57" s="19">
        <v>-23.947255999999999</v>
      </c>
      <c r="J57" s="20">
        <v>162.37960799999999</v>
      </c>
      <c r="K57" s="19">
        <v>-5.5232270000000003</v>
      </c>
      <c r="L57" s="19">
        <v>-2.8487339999999999</v>
      </c>
    </row>
    <row r="58" spans="1:12" ht="14.95" customHeight="1" outlineLevel="3" x14ac:dyDescent="0.2">
      <c r="A58" s="14" t="s">
        <v>115</v>
      </c>
      <c r="B58" s="7">
        <v>16.174233000000001</v>
      </c>
      <c r="C58" s="7">
        <v>15.936574</v>
      </c>
      <c r="D58" s="7">
        <v>9.8105779999999996</v>
      </c>
      <c r="E58" s="7">
        <v>13.632732000000001</v>
      </c>
      <c r="F58" s="7">
        <v>10.303205</v>
      </c>
      <c r="G58" s="7">
        <v>9.9984950000000001</v>
      </c>
      <c r="H58" s="7">
        <v>10.257095</v>
      </c>
      <c r="I58" s="7">
        <v>18.168885</v>
      </c>
      <c r="J58" s="7">
        <v>31.899592999999999</v>
      </c>
      <c r="K58" s="7">
        <v>12.442496999999999</v>
      </c>
      <c r="L58" s="7">
        <v>13.079946</v>
      </c>
    </row>
    <row r="59" spans="1:12" ht="14.95" customHeight="1" outlineLevel="1" x14ac:dyDescent="0.25">
      <c r="A59" s="8" t="s">
        <v>114</v>
      </c>
      <c r="B59" s="2"/>
      <c r="C59" s="2"/>
      <c r="D59" s="2"/>
      <c r="E59" s="2"/>
      <c r="F59" s="2"/>
      <c r="G59" s="2"/>
      <c r="H59" s="2"/>
      <c r="I59" s="2"/>
      <c r="J59" s="2"/>
      <c r="K59" s="2"/>
      <c r="L59" s="2"/>
    </row>
    <row r="60" spans="1:12" ht="14.95" customHeight="1" outlineLevel="2" x14ac:dyDescent="0.25">
      <c r="A60" s="24" t="s">
        <v>113</v>
      </c>
      <c r="B60" s="29">
        <v>9578</v>
      </c>
      <c r="C60" s="29">
        <v>10605</v>
      </c>
      <c r="D60" s="29">
        <v>11687</v>
      </c>
      <c r="E60" s="29">
        <v>6598</v>
      </c>
      <c r="F60" s="29">
        <v>2552</v>
      </c>
      <c r="G60" s="29">
        <v>1988</v>
      </c>
      <c r="H60" s="29">
        <v>1985</v>
      </c>
      <c r="I60" s="29">
        <v>2020</v>
      </c>
      <c r="J60" s="29">
        <v>97</v>
      </c>
      <c r="K60" s="29">
        <v>1398.4280000000001</v>
      </c>
      <c r="L60" s="29">
        <v>1370.9580000000001</v>
      </c>
    </row>
    <row r="61" spans="1:12" ht="14.95" customHeight="1" outlineLevel="3" x14ac:dyDescent="0.2">
      <c r="A61" s="13" t="s">
        <v>112</v>
      </c>
      <c r="B61" s="30">
        <v>8459</v>
      </c>
      <c r="C61" s="30">
        <v>9703</v>
      </c>
      <c r="D61" s="30">
        <v>10946</v>
      </c>
      <c r="E61" s="30">
        <v>5964</v>
      </c>
      <c r="F61" s="30">
        <v>1991</v>
      </c>
      <c r="G61" s="30">
        <v>1988</v>
      </c>
      <c r="H61" s="30">
        <v>1985</v>
      </c>
      <c r="I61" s="30">
        <v>2014</v>
      </c>
      <c r="J61" s="30">
        <v>87</v>
      </c>
      <c r="K61" s="30">
        <v>1384.3420000000001</v>
      </c>
      <c r="L61" s="30">
        <v>1356.375</v>
      </c>
    </row>
    <row r="62" spans="1:12" ht="14.95" customHeight="1" outlineLevel="3" x14ac:dyDescent="0.2">
      <c r="A62" s="14" t="s">
        <v>111</v>
      </c>
      <c r="B62" s="31">
        <v>1119</v>
      </c>
      <c r="C62" s="31">
        <v>902</v>
      </c>
      <c r="D62" s="31">
        <v>741</v>
      </c>
      <c r="E62" s="31">
        <v>634</v>
      </c>
      <c r="F62" s="31">
        <v>561</v>
      </c>
      <c r="G62" s="31">
        <v>0</v>
      </c>
      <c r="H62" s="31">
        <v>0</v>
      </c>
      <c r="I62" s="31">
        <v>6</v>
      </c>
      <c r="J62" s="31">
        <v>10</v>
      </c>
      <c r="K62" s="31">
        <v>14.086</v>
      </c>
      <c r="L62" s="31">
        <v>14.583</v>
      </c>
    </row>
    <row r="63" spans="1:12" ht="14.95" customHeight="1" outlineLevel="2" x14ac:dyDescent="0.2">
      <c r="A63" s="9" t="s">
        <v>110</v>
      </c>
      <c r="B63" s="30">
        <v>0</v>
      </c>
      <c r="C63" s="30">
        <v>0</v>
      </c>
      <c r="D63" s="30">
        <v>0</v>
      </c>
      <c r="E63" s="30">
        <v>33</v>
      </c>
      <c r="F63" s="30">
        <v>22</v>
      </c>
      <c r="G63" s="30">
        <v>20</v>
      </c>
      <c r="H63" s="30">
        <v>12</v>
      </c>
      <c r="I63" s="30">
        <v>0</v>
      </c>
      <c r="J63" s="30">
        <v>1</v>
      </c>
      <c r="K63" s="30">
        <v>7.4279999999999999</v>
      </c>
      <c r="L63" s="30">
        <v>11.055999999999999</v>
      </c>
    </row>
    <row r="64" spans="1:12" ht="14.95" customHeight="1" outlineLevel="2" x14ac:dyDescent="0.2">
      <c r="A64" s="10" t="s">
        <v>109</v>
      </c>
      <c r="B64" s="31">
        <v>462</v>
      </c>
      <c r="C64" s="31">
        <v>247</v>
      </c>
      <c r="D64" s="31">
        <v>245</v>
      </c>
      <c r="E64" s="31">
        <v>241</v>
      </c>
      <c r="F64" s="31">
        <v>29</v>
      </c>
      <c r="G64" s="31">
        <v>19</v>
      </c>
      <c r="H64" s="31">
        <v>18</v>
      </c>
      <c r="I64" s="31">
        <v>141</v>
      </c>
      <c r="J64" s="31">
        <v>301</v>
      </c>
      <c r="K64" s="31">
        <v>232.30699999999999</v>
      </c>
      <c r="L64" s="31">
        <v>157.953</v>
      </c>
    </row>
    <row r="65" spans="1:12" ht="14.95" customHeight="1" outlineLevel="2" x14ac:dyDescent="0.25">
      <c r="A65" s="12" t="s">
        <v>108</v>
      </c>
      <c r="B65" s="37">
        <v>2079</v>
      </c>
      <c r="C65" s="37">
        <v>1666</v>
      </c>
      <c r="D65" s="37">
        <v>1308</v>
      </c>
      <c r="E65" s="37">
        <v>1101</v>
      </c>
      <c r="F65" s="37">
        <v>724</v>
      </c>
      <c r="G65" s="37">
        <v>594</v>
      </c>
      <c r="H65" s="37">
        <v>602</v>
      </c>
      <c r="I65" s="37">
        <v>130</v>
      </c>
      <c r="J65" s="37">
        <v>151</v>
      </c>
      <c r="K65" s="37">
        <v>249.19300000000001</v>
      </c>
      <c r="L65" s="37">
        <v>306.11599999999999</v>
      </c>
    </row>
    <row r="66" spans="1:12" ht="14.95" customHeight="1" outlineLevel="3" x14ac:dyDescent="0.2">
      <c r="A66" s="14" t="s">
        <v>107</v>
      </c>
      <c r="B66" s="31">
        <v>1506</v>
      </c>
      <c r="C66" s="31">
        <v>1448</v>
      </c>
      <c r="D66" s="31">
        <v>1106</v>
      </c>
      <c r="E66" s="31">
        <v>938</v>
      </c>
      <c r="F66" s="31">
        <v>664</v>
      </c>
      <c r="G66" s="31">
        <v>527</v>
      </c>
      <c r="H66" s="31">
        <v>578</v>
      </c>
      <c r="I66" s="31">
        <v>126</v>
      </c>
      <c r="J66" s="31">
        <v>107</v>
      </c>
      <c r="K66" s="31">
        <v>141.35499999999999</v>
      </c>
      <c r="L66" s="31">
        <v>133.917</v>
      </c>
    </row>
    <row r="67" spans="1:12" ht="14.95" customHeight="1" outlineLevel="3" x14ac:dyDescent="0.2">
      <c r="A67" s="13" t="s">
        <v>273</v>
      </c>
      <c r="B67" s="30">
        <v>573</v>
      </c>
      <c r="C67" s="30">
        <v>218</v>
      </c>
      <c r="D67" s="30">
        <v>202</v>
      </c>
      <c r="E67" s="30">
        <v>163</v>
      </c>
      <c r="F67" s="30">
        <v>60</v>
      </c>
      <c r="G67" s="30">
        <v>67</v>
      </c>
      <c r="H67" s="30">
        <v>24</v>
      </c>
      <c r="I67" s="30">
        <v>4</v>
      </c>
      <c r="J67" s="30">
        <v>44</v>
      </c>
      <c r="K67" s="30">
        <v>107.83799999999999</v>
      </c>
      <c r="L67" s="30">
        <v>172.19900000000001</v>
      </c>
    </row>
    <row r="68" spans="1:12" ht="14.95" customHeight="1" outlineLevel="2" x14ac:dyDescent="0.25">
      <c r="A68" s="24" t="s">
        <v>106</v>
      </c>
      <c r="B68" s="29">
        <v>22750</v>
      </c>
      <c r="C68" s="29">
        <v>19081</v>
      </c>
      <c r="D68" s="29">
        <v>17575</v>
      </c>
      <c r="E68" s="29">
        <v>11898</v>
      </c>
      <c r="F68" s="29">
        <v>5111</v>
      </c>
      <c r="G68" s="29">
        <v>3950</v>
      </c>
      <c r="H68" s="29">
        <v>3770</v>
      </c>
      <c r="I68" s="29">
        <v>4079</v>
      </c>
      <c r="J68" s="29">
        <v>2901</v>
      </c>
      <c r="K68" s="29">
        <v>2783.386</v>
      </c>
      <c r="L68" s="29">
        <v>2794.4960000000001</v>
      </c>
    </row>
    <row r="69" spans="1:12" ht="14.95" customHeight="1" outlineLevel="3" x14ac:dyDescent="0.2">
      <c r="A69" s="13" t="s">
        <v>18</v>
      </c>
      <c r="B69" s="20">
        <v>19.228552000000001</v>
      </c>
      <c r="C69" s="20">
        <v>8.5689899999999994</v>
      </c>
      <c r="D69" s="20">
        <v>47.713901999999997</v>
      </c>
      <c r="E69" s="20">
        <v>132.792023</v>
      </c>
      <c r="F69" s="20">
        <v>29.392405</v>
      </c>
      <c r="G69" s="20">
        <v>4.7745360000000003</v>
      </c>
      <c r="H69" s="19">
        <v>-7.575386</v>
      </c>
      <c r="I69" s="20">
        <v>40.606686000000003</v>
      </c>
      <c r="J69" s="20">
        <v>4.2255729999999998</v>
      </c>
      <c r="K69" s="19">
        <v>-0.39757100000000001</v>
      </c>
      <c r="L69" s="20">
        <v>76.359863000000004</v>
      </c>
    </row>
    <row r="70" spans="1:12" ht="14.95" customHeight="1" outlineLevel="3" x14ac:dyDescent="0.2">
      <c r="A70" s="14" t="s">
        <v>105</v>
      </c>
      <c r="B70" s="7">
        <v>34.612341999999998</v>
      </c>
      <c r="C70" s="7">
        <v>46.333350000000003</v>
      </c>
      <c r="D70" s="7">
        <v>39.774141999999998</v>
      </c>
      <c r="E70" s="7">
        <v>41.325414000000002</v>
      </c>
      <c r="F70" s="7">
        <v>29.517759000000002</v>
      </c>
      <c r="G70" s="7">
        <v>29.717123000000001</v>
      </c>
      <c r="H70" s="7">
        <v>33.537941000000004</v>
      </c>
      <c r="I70" s="7">
        <v>41.449039999999997</v>
      </c>
      <c r="J70" s="7">
        <v>39.362279999999998</v>
      </c>
      <c r="K70" s="7">
        <v>38.650795000000002</v>
      </c>
      <c r="L70" s="7">
        <v>38.540019999999998</v>
      </c>
    </row>
    <row r="71" spans="1:12" ht="14.95" customHeight="1" outlineLevel="1" x14ac:dyDescent="0.25">
      <c r="A71" s="8" t="s">
        <v>104</v>
      </c>
      <c r="B71" s="2"/>
      <c r="C71" s="2"/>
      <c r="D71" s="2"/>
      <c r="E71" s="2"/>
      <c r="F71" s="2"/>
      <c r="G71" s="2"/>
      <c r="H71" s="2"/>
      <c r="I71" s="2"/>
      <c r="J71" s="2"/>
      <c r="K71" s="2"/>
      <c r="L71" s="2"/>
    </row>
    <row r="72" spans="1:12" ht="14.95" customHeight="1" outlineLevel="2" x14ac:dyDescent="0.25">
      <c r="A72" s="24" t="s">
        <v>103</v>
      </c>
      <c r="B72" s="29">
        <v>42978</v>
      </c>
      <c r="C72" s="29">
        <v>22101</v>
      </c>
      <c r="D72" s="29">
        <v>26612</v>
      </c>
      <c r="E72" s="29">
        <v>16893</v>
      </c>
      <c r="F72" s="29">
        <v>12204</v>
      </c>
      <c r="G72" s="29">
        <v>9342</v>
      </c>
      <c r="H72" s="29">
        <v>7471</v>
      </c>
      <c r="I72" s="29">
        <v>5762</v>
      </c>
      <c r="J72" s="29">
        <v>4469</v>
      </c>
      <c r="K72" s="29">
        <v>4417.982</v>
      </c>
      <c r="L72" s="29">
        <v>4456.3980000000001</v>
      </c>
    </row>
    <row r="73" spans="1:12" ht="14.95" customHeight="1" outlineLevel="3" x14ac:dyDescent="0.2">
      <c r="A73" s="13" t="s">
        <v>102</v>
      </c>
      <c r="B73" s="30">
        <v>2</v>
      </c>
      <c r="C73" s="30">
        <v>2</v>
      </c>
      <c r="D73" s="30">
        <v>3</v>
      </c>
      <c r="E73" s="30">
        <v>1</v>
      </c>
      <c r="F73" s="30">
        <v>1</v>
      </c>
      <c r="G73" s="30">
        <v>1</v>
      </c>
      <c r="H73" s="30">
        <v>1</v>
      </c>
      <c r="I73" s="30">
        <v>1</v>
      </c>
      <c r="J73" s="30">
        <v>1</v>
      </c>
      <c r="K73" s="30">
        <v>0.754</v>
      </c>
      <c r="L73" s="30">
        <v>0.73199999999999998</v>
      </c>
    </row>
    <row r="74" spans="1:12" ht="14.95" customHeight="1" outlineLevel="3" x14ac:dyDescent="0.2">
      <c r="A74" s="14" t="s">
        <v>101</v>
      </c>
      <c r="B74" s="31">
        <v>13132</v>
      </c>
      <c r="C74" s="31">
        <v>11971</v>
      </c>
      <c r="D74" s="31">
        <v>10385</v>
      </c>
      <c r="E74" s="31">
        <v>8721</v>
      </c>
      <c r="F74" s="31">
        <v>7045</v>
      </c>
      <c r="G74" s="31">
        <v>6051</v>
      </c>
      <c r="H74" s="31">
        <v>5351</v>
      </c>
      <c r="I74" s="31">
        <v>4708</v>
      </c>
      <c r="J74" s="31">
        <v>4170</v>
      </c>
      <c r="K74" s="31">
        <v>3855.0920000000001</v>
      </c>
      <c r="L74" s="31">
        <v>3483.3420000000001</v>
      </c>
    </row>
    <row r="75" spans="1:12" ht="14.95" customHeight="1" outlineLevel="3" x14ac:dyDescent="0.2">
      <c r="A75" s="13" t="s">
        <v>100</v>
      </c>
      <c r="B75" s="30">
        <v>29817</v>
      </c>
      <c r="C75" s="30">
        <v>10171</v>
      </c>
      <c r="D75" s="30">
        <v>16235</v>
      </c>
      <c r="E75" s="30">
        <v>18908</v>
      </c>
      <c r="F75" s="30">
        <v>14971</v>
      </c>
      <c r="G75" s="30">
        <v>12565</v>
      </c>
      <c r="H75" s="30">
        <v>8787</v>
      </c>
      <c r="I75" s="30">
        <v>6108</v>
      </c>
      <c r="J75" s="30">
        <v>4350</v>
      </c>
      <c r="K75" s="30">
        <v>3948.877</v>
      </c>
      <c r="L75" s="30">
        <v>3504.7420000000002</v>
      </c>
    </row>
    <row r="76" spans="1:12" ht="14.95" customHeight="1" outlineLevel="3" x14ac:dyDescent="0.2">
      <c r="A76" s="14" t="s">
        <v>98</v>
      </c>
      <c r="B76" s="31">
        <v>0</v>
      </c>
      <c r="C76" s="31">
        <v>0</v>
      </c>
      <c r="D76" s="31">
        <v>0</v>
      </c>
      <c r="E76" s="31">
        <v>0</v>
      </c>
      <c r="F76" s="31">
        <v>0</v>
      </c>
      <c r="G76" s="31">
        <v>0</v>
      </c>
      <c r="H76" s="31">
        <v>0</v>
      </c>
      <c r="I76" s="31">
        <v>0</v>
      </c>
      <c r="J76" s="31">
        <v>0</v>
      </c>
      <c r="K76" s="31">
        <v>7.8440000000000003</v>
      </c>
      <c r="L76" s="31">
        <v>4.8769999999999998</v>
      </c>
    </row>
    <row r="77" spans="1:12" ht="14.95" customHeight="1" outlineLevel="3" x14ac:dyDescent="0.2">
      <c r="A77" s="13" t="s">
        <v>97</v>
      </c>
      <c r="B77" s="30">
        <v>27</v>
      </c>
      <c r="C77" s="36">
        <v>-43</v>
      </c>
      <c r="D77" s="36">
        <v>-11</v>
      </c>
      <c r="E77" s="30">
        <v>19</v>
      </c>
      <c r="F77" s="30">
        <v>1</v>
      </c>
      <c r="G77" s="36">
        <v>-12</v>
      </c>
      <c r="H77" s="36">
        <v>-18</v>
      </c>
      <c r="I77" s="36">
        <v>-16</v>
      </c>
      <c r="J77" s="36">
        <v>-4</v>
      </c>
      <c r="K77" s="25"/>
      <c r="L77" s="25"/>
    </row>
    <row r="78" spans="1:12" ht="14.95" customHeight="1" outlineLevel="3" x14ac:dyDescent="0.2">
      <c r="A78" s="14" t="s">
        <v>272</v>
      </c>
      <c r="B78" s="31">
        <v>0</v>
      </c>
      <c r="C78" s="31">
        <v>0</v>
      </c>
      <c r="D78" s="31">
        <v>0</v>
      </c>
      <c r="E78" s="38">
        <v>-10756</v>
      </c>
      <c r="F78" s="38">
        <v>-9814</v>
      </c>
      <c r="G78" s="38">
        <v>-9263</v>
      </c>
      <c r="H78" s="38">
        <v>-6650</v>
      </c>
      <c r="I78" s="38">
        <v>-5039</v>
      </c>
      <c r="J78" s="38">
        <v>-4048</v>
      </c>
      <c r="K78" s="38">
        <v>-3394.585</v>
      </c>
      <c r="L78" s="38">
        <v>-2537.2950000000001</v>
      </c>
    </row>
    <row r="79" spans="1:12" ht="14.95" customHeight="1" outlineLevel="2" x14ac:dyDescent="0.25">
      <c r="A79" s="12" t="s">
        <v>96</v>
      </c>
      <c r="B79" s="37">
        <v>42978</v>
      </c>
      <c r="C79" s="37">
        <v>22101</v>
      </c>
      <c r="D79" s="37">
        <v>26612</v>
      </c>
      <c r="E79" s="37">
        <v>16893</v>
      </c>
      <c r="F79" s="37">
        <v>12204</v>
      </c>
      <c r="G79" s="37">
        <v>9342</v>
      </c>
      <c r="H79" s="37">
        <v>7471</v>
      </c>
      <c r="I79" s="37">
        <v>5762</v>
      </c>
      <c r="J79" s="37">
        <v>4469</v>
      </c>
      <c r="K79" s="37">
        <v>4417.982</v>
      </c>
      <c r="L79" s="37">
        <v>4456.3980000000001</v>
      </c>
    </row>
    <row r="80" spans="1:12" ht="14.95" customHeight="1" outlineLevel="3" x14ac:dyDescent="0.2">
      <c r="A80" s="14" t="s">
        <v>18</v>
      </c>
      <c r="B80" s="7">
        <v>94.461792000000003</v>
      </c>
      <c r="C80" s="6">
        <v>-16.951000000000001</v>
      </c>
      <c r="D80" s="7">
        <v>57.532707000000002</v>
      </c>
      <c r="E80" s="7">
        <v>38.421829000000002</v>
      </c>
      <c r="F80" s="7">
        <v>30.635838</v>
      </c>
      <c r="G80" s="7">
        <v>25.043500999999999</v>
      </c>
      <c r="H80" s="7">
        <v>29.659839999999999</v>
      </c>
      <c r="I80" s="7">
        <v>28.932648</v>
      </c>
      <c r="J80" s="7">
        <v>1.154782</v>
      </c>
      <c r="K80" s="6">
        <v>-0.86204199999999997</v>
      </c>
      <c r="L80" s="6">
        <v>-7.6911350000000001</v>
      </c>
    </row>
    <row r="81" spans="1:12" ht="14.95" customHeight="1" outlineLevel="3" x14ac:dyDescent="0.2">
      <c r="A81" s="13" t="s">
        <v>95</v>
      </c>
      <c r="B81" s="20">
        <v>65.387658000000002</v>
      </c>
      <c r="C81" s="20">
        <v>53.666649999999997</v>
      </c>
      <c r="D81" s="20">
        <v>60.225858000000002</v>
      </c>
      <c r="E81" s="20">
        <v>58.674585999999998</v>
      </c>
      <c r="F81" s="20">
        <v>70.482241000000002</v>
      </c>
      <c r="G81" s="20">
        <v>70.282876999999999</v>
      </c>
      <c r="H81" s="20">
        <v>66.462058999999996</v>
      </c>
      <c r="I81" s="20">
        <v>58.550960000000003</v>
      </c>
      <c r="J81" s="20">
        <v>60.637720000000002</v>
      </c>
      <c r="K81" s="20">
        <v>61.349204999999998</v>
      </c>
      <c r="L81" s="20">
        <v>61.459980000000002</v>
      </c>
    </row>
    <row r="82" spans="1:12" ht="14.95" customHeight="1" outlineLevel="2" x14ac:dyDescent="0.25">
      <c r="A82" s="24" t="s">
        <v>94</v>
      </c>
      <c r="B82" s="29">
        <v>42978</v>
      </c>
      <c r="C82" s="29">
        <v>22101</v>
      </c>
      <c r="D82" s="29">
        <v>26612</v>
      </c>
      <c r="E82" s="29">
        <v>16893</v>
      </c>
      <c r="F82" s="29">
        <v>12204</v>
      </c>
      <c r="G82" s="29">
        <v>9342</v>
      </c>
      <c r="H82" s="29">
        <v>7471</v>
      </c>
      <c r="I82" s="29">
        <v>5762</v>
      </c>
      <c r="J82" s="29">
        <v>4469</v>
      </c>
      <c r="K82" s="29">
        <v>4417.982</v>
      </c>
      <c r="L82" s="29">
        <v>4456.3980000000001</v>
      </c>
    </row>
    <row r="83" spans="1:12" ht="14.95" customHeight="1" outlineLevel="3" x14ac:dyDescent="0.2">
      <c r="A83" s="13" t="s">
        <v>18</v>
      </c>
      <c r="B83" s="20">
        <v>94.461792000000003</v>
      </c>
      <c r="C83" s="19">
        <v>-16.951000000000001</v>
      </c>
      <c r="D83" s="20">
        <v>57.532707000000002</v>
      </c>
      <c r="E83" s="20">
        <v>38.421829000000002</v>
      </c>
      <c r="F83" s="20">
        <v>30.635838</v>
      </c>
      <c r="G83" s="20">
        <v>25.043500999999999</v>
      </c>
      <c r="H83" s="20">
        <v>29.659839999999999</v>
      </c>
      <c r="I83" s="20">
        <v>28.932648</v>
      </c>
      <c r="J83" s="20">
        <v>1.154782</v>
      </c>
      <c r="K83" s="19">
        <v>-0.86204199999999997</v>
      </c>
      <c r="L83" s="19">
        <v>-7.6911350000000001</v>
      </c>
    </row>
    <row r="84" spans="1:12" ht="14.95" customHeight="1" outlineLevel="3" x14ac:dyDescent="0.2">
      <c r="A84" s="14" t="s">
        <v>93</v>
      </c>
      <c r="B84" s="7">
        <v>65.387658000000002</v>
      </c>
      <c r="C84" s="7">
        <v>53.666649999999997</v>
      </c>
      <c r="D84" s="7">
        <v>60.225858000000002</v>
      </c>
      <c r="E84" s="7">
        <v>58.674585999999998</v>
      </c>
      <c r="F84" s="7">
        <v>70.482241000000002</v>
      </c>
      <c r="G84" s="7">
        <v>70.282876999999999</v>
      </c>
      <c r="H84" s="7">
        <v>66.462058999999996</v>
      </c>
      <c r="I84" s="7">
        <v>58.550960000000003</v>
      </c>
      <c r="J84" s="7">
        <v>60.637720000000002</v>
      </c>
      <c r="K84" s="7">
        <v>61.349204999999998</v>
      </c>
      <c r="L84" s="7">
        <v>61.459980000000002</v>
      </c>
    </row>
    <row r="85" spans="1:12" ht="14.95" customHeight="1" outlineLevel="1" x14ac:dyDescent="0.25">
      <c r="A85" s="8" t="s">
        <v>92</v>
      </c>
      <c r="B85" s="37">
        <v>65728</v>
      </c>
      <c r="C85" s="37">
        <v>41182</v>
      </c>
      <c r="D85" s="37">
        <v>44187</v>
      </c>
      <c r="E85" s="37">
        <v>28791</v>
      </c>
      <c r="F85" s="37">
        <v>17315</v>
      </c>
      <c r="G85" s="37">
        <v>13292</v>
      </c>
      <c r="H85" s="37">
        <v>11241</v>
      </c>
      <c r="I85" s="37">
        <v>9841</v>
      </c>
      <c r="J85" s="37">
        <v>7370</v>
      </c>
      <c r="K85" s="37">
        <v>7201.3680000000004</v>
      </c>
      <c r="L85" s="37">
        <v>7250.8940000000002</v>
      </c>
    </row>
    <row r="86" spans="1:12" ht="14.95" customHeight="1" outlineLevel="2" x14ac:dyDescent="0.2">
      <c r="A86" s="10" t="s">
        <v>18</v>
      </c>
      <c r="B86" s="7">
        <v>59.60371</v>
      </c>
      <c r="C86" s="6">
        <v>-6.8006419999999999</v>
      </c>
      <c r="D86" s="7">
        <v>53.475043999999997</v>
      </c>
      <c r="E86" s="7">
        <v>66.277794</v>
      </c>
      <c r="F86" s="7">
        <v>30.266324999999998</v>
      </c>
      <c r="G86" s="7">
        <v>18.245708</v>
      </c>
      <c r="H86" s="7">
        <v>14.226196</v>
      </c>
      <c r="I86" s="7">
        <v>33.527816999999999</v>
      </c>
      <c r="J86" s="7">
        <v>2.3416640000000002</v>
      </c>
      <c r="K86" s="6">
        <v>-0.68303100000000005</v>
      </c>
      <c r="L86" s="7">
        <v>13.078865</v>
      </c>
    </row>
    <row r="87" spans="1:12" ht="14.95" customHeight="1" outlineLevel="2" x14ac:dyDescent="0.2">
      <c r="A87" s="9" t="s">
        <v>91</v>
      </c>
      <c r="B87" s="20">
        <v>100</v>
      </c>
      <c r="C87" s="20">
        <v>100</v>
      </c>
      <c r="D87" s="20">
        <v>100</v>
      </c>
      <c r="E87" s="20">
        <v>100</v>
      </c>
      <c r="F87" s="20">
        <v>100</v>
      </c>
      <c r="G87" s="20">
        <v>100</v>
      </c>
      <c r="H87" s="20">
        <v>100</v>
      </c>
      <c r="I87" s="20">
        <v>100</v>
      </c>
      <c r="J87" s="20">
        <v>100</v>
      </c>
      <c r="K87" s="20">
        <v>100</v>
      </c>
      <c r="L87" s="20">
        <v>100</v>
      </c>
    </row>
    <row r="88" spans="1:12" ht="14.95" customHeight="1" x14ac:dyDescent="0.25">
      <c r="A88" s="16" t="s">
        <v>51</v>
      </c>
      <c r="B88" s="16"/>
      <c r="C88" s="16"/>
      <c r="D88" s="16"/>
      <c r="E88" s="16"/>
      <c r="F88" s="16"/>
      <c r="G88" s="16"/>
      <c r="H88" s="16"/>
      <c r="I88" s="16"/>
      <c r="J88" s="16"/>
      <c r="K88" s="16"/>
      <c r="L88" s="16"/>
    </row>
    <row r="89" spans="1:12" ht="14.95" customHeight="1" outlineLevel="1" x14ac:dyDescent="0.2">
      <c r="A89" s="4" t="s">
        <v>90</v>
      </c>
      <c r="B89" s="20">
        <v>1.74424</v>
      </c>
      <c r="C89" s="20">
        <v>0.89622999999999997</v>
      </c>
      <c r="D89" s="20">
        <v>1.06193</v>
      </c>
      <c r="E89" s="20">
        <v>0.68117000000000005</v>
      </c>
      <c r="F89" s="20">
        <v>0.49852999999999997</v>
      </c>
      <c r="G89" s="20">
        <v>0.38540000000000002</v>
      </c>
      <c r="H89" s="20">
        <v>0.30820999999999998</v>
      </c>
      <c r="I89" s="20">
        <v>0.24623999999999999</v>
      </c>
      <c r="J89" s="20">
        <v>0.20727999999999999</v>
      </c>
      <c r="K89" s="20">
        <v>0.20269000000000001</v>
      </c>
      <c r="L89" s="20">
        <v>0.19614999999999999</v>
      </c>
    </row>
    <row r="90" spans="1:12" ht="14.95" customHeight="1" outlineLevel="1" x14ac:dyDescent="0.2">
      <c r="A90" s="5" t="s">
        <v>89</v>
      </c>
      <c r="B90" s="7">
        <v>1.5193179999999999</v>
      </c>
      <c r="C90" s="7">
        <v>0.65097300000000002</v>
      </c>
      <c r="D90" s="7">
        <v>0.79505199999999998</v>
      </c>
      <c r="E90" s="7">
        <v>0.40173399999999998</v>
      </c>
      <c r="F90" s="7">
        <v>0.47128300000000001</v>
      </c>
      <c r="G90" s="7">
        <v>0.358045</v>
      </c>
      <c r="H90" s="7">
        <v>0.28056900000000001</v>
      </c>
      <c r="I90" s="7">
        <v>0.21538499999999999</v>
      </c>
      <c r="J90" s="7">
        <v>0.17091799999999999</v>
      </c>
      <c r="K90" s="7">
        <v>0.164159</v>
      </c>
      <c r="L90" s="7">
        <v>0.154808</v>
      </c>
    </row>
    <row r="91" spans="1:12" ht="14.95" customHeight="1" x14ac:dyDescent="0.2">
      <c r="A91" s="32" t="s">
        <v>63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E2F3-B685-854D-A3FE-0E2B1612EF20}">
  <sheetPr>
    <outlinePr summaryBelow="0" summaryRight="0"/>
  </sheetPr>
  <dimension ref="A1:M70"/>
  <sheetViews>
    <sheetView topLeftCell="A2" workbookViewId="0"/>
  </sheetViews>
  <sheetFormatPr defaultColWidth="9.125" defaultRowHeight="14.95" customHeight="1" outlineLevelRow="3" x14ac:dyDescent="0.2"/>
  <cols>
    <col min="1" max="1" width="53.625" customWidth="1"/>
    <col min="2" max="13" width="9.5" customWidth="1"/>
  </cols>
  <sheetData>
    <row r="1" spans="1:13" ht="14.95" customHeight="1" x14ac:dyDescent="0.25">
      <c r="A1" s="33" t="s">
        <v>292</v>
      </c>
    </row>
    <row r="2" spans="1:13" ht="14.95" customHeight="1" x14ac:dyDescent="0.2">
      <c r="A2" s="35" t="s">
        <v>291</v>
      </c>
    </row>
    <row r="3" spans="1:13" ht="14.95" customHeight="1" x14ac:dyDescent="0.2">
      <c r="A3" s="34"/>
      <c r="B3" s="34"/>
      <c r="C3" s="34"/>
      <c r="D3" s="34"/>
      <c r="E3" s="34"/>
      <c r="F3" s="34"/>
      <c r="G3" s="34"/>
      <c r="H3" s="34"/>
      <c r="I3" s="34"/>
      <c r="J3" s="34"/>
      <c r="K3" s="34"/>
      <c r="L3" s="34"/>
      <c r="M3" s="34"/>
    </row>
    <row r="5" spans="1:13" ht="14.95" customHeight="1" x14ac:dyDescent="0.25">
      <c r="A5" s="1" t="s">
        <v>290</v>
      </c>
      <c r="B5" s="1"/>
      <c r="C5" s="1"/>
      <c r="D5" s="1"/>
      <c r="E5" s="1"/>
      <c r="F5" s="1"/>
      <c r="G5" s="1"/>
      <c r="H5" s="1"/>
      <c r="I5" s="1"/>
      <c r="J5" s="1"/>
      <c r="K5" s="1"/>
      <c r="L5" s="1"/>
      <c r="M5" s="1"/>
    </row>
    <row r="6" spans="1:13" ht="14.95" customHeight="1" x14ac:dyDescent="0.25">
      <c r="A6" s="1" t="s">
        <v>289</v>
      </c>
      <c r="B6" s="1"/>
      <c r="C6" s="1"/>
      <c r="D6" s="1"/>
      <c r="E6" s="1"/>
      <c r="F6" s="1"/>
      <c r="G6" s="1"/>
      <c r="H6" s="1"/>
      <c r="I6" s="1"/>
      <c r="J6" s="1"/>
      <c r="K6" s="1"/>
      <c r="L6" s="1"/>
      <c r="M6" s="1"/>
    </row>
    <row r="7" spans="1:13" ht="14.95" customHeight="1" x14ac:dyDescent="0.25">
      <c r="A7" s="1" t="s">
        <v>2</v>
      </c>
      <c r="B7" s="1"/>
      <c r="C7" s="1"/>
      <c r="D7" s="1"/>
      <c r="E7" s="1"/>
      <c r="F7" s="1"/>
      <c r="G7" s="1"/>
      <c r="H7" s="1"/>
      <c r="I7" s="1"/>
      <c r="J7" s="1"/>
      <c r="K7" s="1"/>
      <c r="L7" s="1"/>
      <c r="M7" s="1"/>
    </row>
    <row r="8" spans="1:13" ht="14.95" customHeight="1" x14ac:dyDescent="0.25">
      <c r="A8" s="1"/>
      <c r="B8" s="1" t="s">
        <v>3</v>
      </c>
      <c r="C8" s="1" t="s">
        <v>288</v>
      </c>
      <c r="D8" s="1" t="s">
        <v>287</v>
      </c>
      <c r="E8" s="1" t="s">
        <v>286</v>
      </c>
      <c r="F8" s="1" t="s">
        <v>285</v>
      </c>
      <c r="G8" s="1" t="s">
        <v>284</v>
      </c>
      <c r="H8" s="1" t="s">
        <v>283</v>
      </c>
      <c r="I8" s="1" t="s">
        <v>282</v>
      </c>
      <c r="J8" s="1" t="s">
        <v>281</v>
      </c>
      <c r="K8" s="1" t="s">
        <v>280</v>
      </c>
      <c r="L8" s="1" t="s">
        <v>279</v>
      </c>
      <c r="M8" s="1" t="s">
        <v>278</v>
      </c>
    </row>
    <row r="9" spans="1:13" ht="14.95" customHeight="1" x14ac:dyDescent="0.25">
      <c r="A9" s="1"/>
      <c r="B9" s="1" t="s">
        <v>15</v>
      </c>
      <c r="C9" s="1"/>
      <c r="D9" s="1"/>
      <c r="E9" s="1"/>
      <c r="F9" s="1"/>
      <c r="G9" s="1"/>
      <c r="H9" s="1"/>
      <c r="I9" s="1"/>
      <c r="J9" s="1"/>
      <c r="K9" s="1"/>
      <c r="L9" s="1"/>
      <c r="M9" s="1"/>
    </row>
    <row r="10" spans="1:13" ht="14.95" customHeight="1" x14ac:dyDescent="0.25">
      <c r="A10" s="16" t="s">
        <v>17</v>
      </c>
      <c r="B10" s="29">
        <v>96307</v>
      </c>
      <c r="C10" s="29">
        <v>60922</v>
      </c>
      <c r="D10" s="29">
        <v>26974</v>
      </c>
      <c r="E10" s="29">
        <v>26914</v>
      </c>
      <c r="F10" s="29">
        <v>16675</v>
      </c>
      <c r="G10" s="29">
        <v>10918</v>
      </c>
      <c r="H10" s="29">
        <v>11716</v>
      </c>
      <c r="I10" s="29">
        <v>9714</v>
      </c>
      <c r="J10" s="29">
        <v>6910</v>
      </c>
      <c r="K10" s="29">
        <v>5010</v>
      </c>
      <c r="L10" s="29">
        <v>4681.5069999999996</v>
      </c>
      <c r="M10" s="29">
        <v>4130.1620000000003</v>
      </c>
    </row>
    <row r="11" spans="1:13" ht="14.95" customHeight="1" outlineLevel="1" x14ac:dyDescent="0.2">
      <c r="A11" s="4" t="s">
        <v>18</v>
      </c>
      <c r="B11" s="20">
        <v>194.68804900000001</v>
      </c>
      <c r="C11" s="20">
        <v>125.85453</v>
      </c>
      <c r="D11" s="20">
        <v>0.22293199999999999</v>
      </c>
      <c r="E11" s="20">
        <v>61.403297000000002</v>
      </c>
      <c r="F11" s="20">
        <v>52.729438999999999</v>
      </c>
      <c r="G11" s="19">
        <v>-6.8111980000000001</v>
      </c>
      <c r="H11" s="20">
        <v>20.60943</v>
      </c>
      <c r="I11" s="20">
        <v>40.578873000000002</v>
      </c>
      <c r="J11" s="20">
        <v>37.924151999999999</v>
      </c>
      <c r="K11" s="20">
        <v>7.0168249999999999</v>
      </c>
      <c r="L11" s="20">
        <v>13.349228</v>
      </c>
      <c r="M11" s="19">
        <v>-3.5044740000000001</v>
      </c>
    </row>
    <row r="12" spans="1:13" ht="14.95" customHeight="1" outlineLevel="1" x14ac:dyDescent="0.25">
      <c r="A12" s="21" t="s">
        <v>19</v>
      </c>
      <c r="B12" s="29">
        <v>23136</v>
      </c>
      <c r="C12" s="29">
        <v>16621</v>
      </c>
      <c r="D12" s="29">
        <v>11618</v>
      </c>
      <c r="E12" s="29">
        <v>9439</v>
      </c>
      <c r="F12" s="29">
        <v>6279</v>
      </c>
      <c r="G12" s="29">
        <v>4135</v>
      </c>
      <c r="H12" s="29">
        <v>4503</v>
      </c>
      <c r="I12" s="29">
        <v>3878</v>
      </c>
      <c r="J12" s="29">
        <v>2835</v>
      </c>
      <c r="K12" s="29">
        <v>2172</v>
      </c>
      <c r="L12" s="29">
        <v>2076.5889999999999</v>
      </c>
      <c r="M12" s="29">
        <v>1855.6130000000001</v>
      </c>
    </row>
    <row r="13" spans="1:13" ht="14.95" customHeight="1" outlineLevel="2" x14ac:dyDescent="0.2">
      <c r="A13" s="9" t="s">
        <v>20</v>
      </c>
      <c r="B13" s="30">
        <v>21534</v>
      </c>
      <c r="C13" s="30">
        <v>15113</v>
      </c>
      <c r="D13" s="30">
        <v>10074</v>
      </c>
      <c r="E13" s="30">
        <v>8265</v>
      </c>
      <c r="F13" s="30">
        <v>5181</v>
      </c>
      <c r="G13" s="30">
        <v>3754</v>
      </c>
      <c r="H13" s="30">
        <v>4241</v>
      </c>
      <c r="I13" s="30">
        <v>3679</v>
      </c>
      <c r="J13" s="30">
        <v>2648</v>
      </c>
      <c r="K13" s="30">
        <v>1975</v>
      </c>
      <c r="L13" s="30">
        <v>1856.4639999999999</v>
      </c>
      <c r="M13" s="30">
        <v>1616.4649999999999</v>
      </c>
    </row>
    <row r="14" spans="1:13" ht="14.95" customHeight="1" outlineLevel="2" x14ac:dyDescent="0.25">
      <c r="A14" s="24" t="s">
        <v>21</v>
      </c>
      <c r="B14" s="29">
        <v>1602</v>
      </c>
      <c r="C14" s="29">
        <v>1508</v>
      </c>
      <c r="D14" s="29">
        <v>1544</v>
      </c>
      <c r="E14" s="29">
        <v>1174</v>
      </c>
      <c r="F14" s="29">
        <v>1098</v>
      </c>
      <c r="G14" s="29">
        <v>381</v>
      </c>
      <c r="H14" s="29">
        <v>262</v>
      </c>
      <c r="I14" s="29">
        <v>199</v>
      </c>
      <c r="J14" s="29">
        <v>187</v>
      </c>
      <c r="K14" s="29">
        <v>197</v>
      </c>
      <c r="L14" s="29">
        <v>220.125</v>
      </c>
      <c r="M14" s="29">
        <v>239.148</v>
      </c>
    </row>
    <row r="15" spans="1:13" ht="14.95" customHeight="1" outlineLevel="3" x14ac:dyDescent="0.2">
      <c r="A15" s="13" t="s">
        <v>22</v>
      </c>
      <c r="B15" s="30">
        <v>1026</v>
      </c>
      <c r="C15" s="30">
        <v>894</v>
      </c>
      <c r="D15" s="30">
        <v>845</v>
      </c>
      <c r="E15" s="30">
        <v>611</v>
      </c>
      <c r="F15" s="30">
        <v>486</v>
      </c>
      <c r="G15" s="30">
        <v>356</v>
      </c>
      <c r="H15" s="30">
        <v>233</v>
      </c>
      <c r="I15" s="30">
        <v>144</v>
      </c>
      <c r="J15" s="30">
        <v>119</v>
      </c>
      <c r="K15" s="30">
        <v>124</v>
      </c>
      <c r="L15" s="30">
        <v>143.1</v>
      </c>
      <c r="M15" s="30">
        <v>164</v>
      </c>
    </row>
    <row r="16" spans="1:13" ht="14.95" customHeight="1" outlineLevel="3" x14ac:dyDescent="0.2">
      <c r="A16" s="14" t="s">
        <v>23</v>
      </c>
      <c r="B16" s="31">
        <v>576</v>
      </c>
      <c r="C16" s="31">
        <v>614</v>
      </c>
      <c r="D16" s="31">
        <v>699</v>
      </c>
      <c r="E16" s="31">
        <v>563</v>
      </c>
      <c r="F16" s="31">
        <v>612</v>
      </c>
      <c r="G16" s="31">
        <v>25</v>
      </c>
      <c r="H16" s="31">
        <v>29</v>
      </c>
      <c r="I16" s="31">
        <v>55</v>
      </c>
      <c r="J16" s="31">
        <v>68</v>
      </c>
      <c r="K16" s="31">
        <v>73</v>
      </c>
      <c r="L16" s="31">
        <v>77.025000000000006</v>
      </c>
      <c r="M16" s="31">
        <v>75.147999999999996</v>
      </c>
    </row>
    <row r="17" spans="1:13" ht="14.95" customHeight="1" x14ac:dyDescent="0.25">
      <c r="A17" s="2" t="s">
        <v>24</v>
      </c>
      <c r="B17" s="37">
        <v>73171</v>
      </c>
      <c r="C17" s="37">
        <v>44301</v>
      </c>
      <c r="D17" s="37">
        <v>15356</v>
      </c>
      <c r="E17" s="37">
        <v>17475</v>
      </c>
      <c r="F17" s="37">
        <v>10396</v>
      </c>
      <c r="G17" s="37">
        <v>6783</v>
      </c>
      <c r="H17" s="37">
        <v>7213</v>
      </c>
      <c r="I17" s="37">
        <v>5836</v>
      </c>
      <c r="J17" s="37">
        <v>4075</v>
      </c>
      <c r="K17" s="37">
        <v>2838</v>
      </c>
      <c r="L17" s="37">
        <v>2604.9180000000001</v>
      </c>
      <c r="M17" s="37">
        <v>2274.549</v>
      </c>
    </row>
    <row r="18" spans="1:13" ht="14.95" customHeight="1" outlineLevel="1" x14ac:dyDescent="0.2">
      <c r="A18" s="5" t="s">
        <v>18</v>
      </c>
      <c r="B18" s="7">
        <v>246.453598</v>
      </c>
      <c r="C18" s="7">
        <v>188.49310299999999</v>
      </c>
      <c r="D18" s="6">
        <v>-12.125895</v>
      </c>
      <c r="E18" s="7">
        <v>68.093497999999997</v>
      </c>
      <c r="F18" s="7">
        <v>53.265518</v>
      </c>
      <c r="G18" s="6">
        <v>-5.9614589999999996</v>
      </c>
      <c r="H18" s="7">
        <v>23.594929</v>
      </c>
      <c r="I18" s="7">
        <v>43.214725000000001</v>
      </c>
      <c r="J18" s="7">
        <v>43.587032000000001</v>
      </c>
      <c r="K18" s="7">
        <v>8.9477679999999999</v>
      </c>
      <c r="L18" s="7">
        <v>14.52459</v>
      </c>
      <c r="M18" s="7">
        <v>1.90262</v>
      </c>
    </row>
    <row r="19" spans="1:13" ht="14.95" customHeight="1" outlineLevel="1" x14ac:dyDescent="0.2">
      <c r="A19" s="4" t="s">
        <v>25</v>
      </c>
      <c r="B19" s="20">
        <v>75.976823999999993</v>
      </c>
      <c r="C19" s="20">
        <v>72.717573000000002</v>
      </c>
      <c r="D19" s="20">
        <v>56.928894</v>
      </c>
      <c r="E19" s="20">
        <v>64.929033000000004</v>
      </c>
      <c r="F19" s="20">
        <v>62.344828</v>
      </c>
      <c r="G19" s="20">
        <v>62.126762999999997</v>
      </c>
      <c r="H19" s="20">
        <v>61.565381000000002</v>
      </c>
      <c r="I19" s="20">
        <v>60.078237999999999</v>
      </c>
      <c r="J19" s="20">
        <v>58.972504000000001</v>
      </c>
      <c r="K19" s="20">
        <v>56.646706999999999</v>
      </c>
      <c r="L19" s="20">
        <v>55.642724000000001</v>
      </c>
      <c r="M19" s="20">
        <v>55.071665000000003</v>
      </c>
    </row>
    <row r="20" spans="1:13" ht="14.95" customHeight="1" outlineLevel="1" x14ac:dyDescent="0.25">
      <c r="A20" s="21" t="s">
        <v>26</v>
      </c>
      <c r="B20" s="29">
        <v>13589</v>
      </c>
      <c r="C20" s="29">
        <v>11329</v>
      </c>
      <c r="D20" s="29">
        <v>9779</v>
      </c>
      <c r="E20" s="29">
        <v>7434</v>
      </c>
      <c r="F20" s="29">
        <v>5780</v>
      </c>
      <c r="G20" s="29">
        <v>3892</v>
      </c>
      <c r="H20" s="29">
        <v>3365</v>
      </c>
      <c r="I20" s="29">
        <v>2599</v>
      </c>
      <c r="J20" s="29">
        <v>2104</v>
      </c>
      <c r="K20" s="29">
        <v>1863</v>
      </c>
      <c r="L20" s="29">
        <v>1803.133</v>
      </c>
      <c r="M20" s="29">
        <v>1771.5360000000001</v>
      </c>
    </row>
    <row r="21" spans="1:13" ht="14.95" customHeight="1" outlineLevel="2" x14ac:dyDescent="0.2">
      <c r="A21" s="9" t="s">
        <v>27</v>
      </c>
      <c r="B21" s="30">
        <v>10569</v>
      </c>
      <c r="C21" s="30">
        <v>8675</v>
      </c>
      <c r="D21" s="30">
        <v>7339</v>
      </c>
      <c r="E21" s="30">
        <v>5268</v>
      </c>
      <c r="F21" s="30">
        <v>3924</v>
      </c>
      <c r="G21" s="30">
        <v>2829</v>
      </c>
      <c r="H21" s="30">
        <v>2376</v>
      </c>
      <c r="I21" s="30">
        <v>1797</v>
      </c>
      <c r="J21" s="30">
        <v>1463</v>
      </c>
      <c r="K21" s="30">
        <v>1331</v>
      </c>
      <c r="L21" s="30">
        <v>1359.7249999999999</v>
      </c>
      <c r="M21" s="30">
        <v>1335.8340000000001</v>
      </c>
    </row>
    <row r="22" spans="1:13" ht="14.95" customHeight="1" outlineLevel="2" x14ac:dyDescent="0.2">
      <c r="A22" s="10" t="s">
        <v>28</v>
      </c>
      <c r="B22" s="31">
        <v>3020</v>
      </c>
      <c r="C22" s="31">
        <v>2654</v>
      </c>
      <c r="D22" s="31">
        <v>2440</v>
      </c>
      <c r="E22" s="31">
        <v>2166</v>
      </c>
      <c r="F22" s="31">
        <v>1856</v>
      </c>
      <c r="G22" s="31">
        <v>1063</v>
      </c>
      <c r="H22" s="31">
        <v>989</v>
      </c>
      <c r="I22" s="31">
        <v>802</v>
      </c>
      <c r="J22" s="31">
        <v>641</v>
      </c>
      <c r="K22" s="31">
        <v>532</v>
      </c>
      <c r="L22" s="31">
        <v>443.40800000000002</v>
      </c>
      <c r="M22" s="31">
        <v>435.702</v>
      </c>
    </row>
    <row r="23" spans="1:13" ht="14.95" customHeight="1" outlineLevel="1" x14ac:dyDescent="0.2">
      <c r="A23" s="4" t="s">
        <v>29</v>
      </c>
      <c r="B23" s="30">
        <v>0</v>
      </c>
      <c r="C23" s="30">
        <v>0</v>
      </c>
      <c r="D23" s="30">
        <v>0</v>
      </c>
      <c r="E23" s="30">
        <v>0</v>
      </c>
      <c r="F23" s="30">
        <v>0</v>
      </c>
      <c r="G23" s="30">
        <v>0</v>
      </c>
      <c r="H23" s="36">
        <v>-2</v>
      </c>
      <c r="I23" s="30">
        <v>14</v>
      </c>
      <c r="J23" s="30">
        <v>2</v>
      </c>
      <c r="K23" s="30">
        <v>27</v>
      </c>
      <c r="L23" s="30">
        <v>5.4409999999999998</v>
      </c>
      <c r="M23" s="30">
        <v>6.7859999999999996</v>
      </c>
    </row>
    <row r="24" spans="1:13" ht="14.95" customHeight="1" x14ac:dyDescent="0.25">
      <c r="A24" s="16" t="s">
        <v>30</v>
      </c>
      <c r="B24" s="29">
        <v>59582</v>
      </c>
      <c r="C24" s="29">
        <v>32972</v>
      </c>
      <c r="D24" s="29">
        <v>5577</v>
      </c>
      <c r="E24" s="29">
        <v>10041</v>
      </c>
      <c r="F24" s="29">
        <v>4616</v>
      </c>
      <c r="G24" s="29">
        <v>2891</v>
      </c>
      <c r="H24" s="29">
        <v>3850</v>
      </c>
      <c r="I24" s="29">
        <v>3223</v>
      </c>
      <c r="J24" s="29">
        <v>1969</v>
      </c>
      <c r="K24" s="29">
        <v>948</v>
      </c>
      <c r="L24" s="29">
        <v>796.34400000000005</v>
      </c>
      <c r="M24" s="29">
        <v>496.22699999999998</v>
      </c>
    </row>
    <row r="25" spans="1:13" ht="14.95" customHeight="1" outlineLevel="1" x14ac:dyDescent="0.2">
      <c r="A25" s="4" t="s">
        <v>18</v>
      </c>
      <c r="B25" s="20">
        <v>451.78735399999999</v>
      </c>
      <c r="C25" s="20">
        <v>491.21392800000001</v>
      </c>
      <c r="D25" s="19">
        <v>-44.457721999999997</v>
      </c>
      <c r="E25" s="20">
        <v>117.525993</v>
      </c>
      <c r="F25" s="20">
        <v>59.667934000000002</v>
      </c>
      <c r="G25" s="19">
        <v>-24.909089999999999</v>
      </c>
      <c r="H25" s="20">
        <v>19.453924000000001</v>
      </c>
      <c r="I25" s="20">
        <v>63.687148999999998</v>
      </c>
      <c r="J25" s="20">
        <v>107.700424</v>
      </c>
      <c r="K25" s="20">
        <v>19.044032999999999</v>
      </c>
      <c r="L25" s="20">
        <v>60.479782</v>
      </c>
      <c r="M25" s="19">
        <v>-23.449997</v>
      </c>
    </row>
    <row r="26" spans="1:13" ht="14.95" customHeight="1" outlineLevel="1" x14ac:dyDescent="0.2">
      <c r="A26" s="5" t="s">
        <v>25</v>
      </c>
      <c r="B26" s="7">
        <v>61.866739000000003</v>
      </c>
      <c r="C26" s="7">
        <v>54.121664000000003</v>
      </c>
      <c r="D26" s="7">
        <v>20.675464999999999</v>
      </c>
      <c r="E26" s="7">
        <v>37.307721000000001</v>
      </c>
      <c r="F26" s="7">
        <v>27.682158999999999</v>
      </c>
      <c r="G26" s="7">
        <v>26.479209000000001</v>
      </c>
      <c r="H26" s="7">
        <v>32.861044999999997</v>
      </c>
      <c r="I26" s="7">
        <v>33.178916999999998</v>
      </c>
      <c r="J26" s="7">
        <v>28.494935000000002</v>
      </c>
      <c r="K26" s="7">
        <v>18.922156000000001</v>
      </c>
      <c r="L26" s="7">
        <v>17.01042</v>
      </c>
      <c r="M26" s="7">
        <v>12.014710000000001</v>
      </c>
    </row>
    <row r="27" spans="1:13" ht="14.95" customHeight="1" outlineLevel="1" x14ac:dyDescent="0.25">
      <c r="A27" s="8" t="s">
        <v>31</v>
      </c>
      <c r="B27" s="37">
        <v>1718</v>
      </c>
      <c r="C27" s="37">
        <v>929</v>
      </c>
      <c r="D27" s="37">
        <v>280</v>
      </c>
      <c r="E27" s="37">
        <v>36</v>
      </c>
      <c r="F27" s="37">
        <v>61</v>
      </c>
      <c r="G27" s="37">
        <v>176</v>
      </c>
      <c r="H27" s="37">
        <v>150</v>
      </c>
      <c r="I27" s="37">
        <v>47</v>
      </c>
      <c r="J27" s="37">
        <v>50</v>
      </c>
      <c r="K27" s="37">
        <v>43</v>
      </c>
      <c r="L27" s="37">
        <v>41.98</v>
      </c>
      <c r="M27" s="37">
        <v>24.47</v>
      </c>
    </row>
    <row r="28" spans="1:13" ht="14.95" customHeight="1" outlineLevel="2" x14ac:dyDescent="0.2">
      <c r="A28" s="10" t="s">
        <v>32</v>
      </c>
      <c r="B28" s="31">
        <v>1331</v>
      </c>
      <c r="C28" s="31">
        <v>866</v>
      </c>
      <c r="D28" s="31">
        <v>267</v>
      </c>
      <c r="E28" s="31">
        <v>29</v>
      </c>
      <c r="F28" s="31">
        <v>57</v>
      </c>
      <c r="G28" s="31">
        <v>178</v>
      </c>
      <c r="H28" s="31">
        <v>136</v>
      </c>
      <c r="I28" s="31">
        <v>69</v>
      </c>
      <c r="J28" s="31">
        <v>54</v>
      </c>
      <c r="K28" s="31">
        <v>39</v>
      </c>
      <c r="L28" s="31">
        <v>28.09</v>
      </c>
      <c r="M28" s="31">
        <v>17.119</v>
      </c>
    </row>
    <row r="29" spans="1:13" ht="14.95" customHeight="1" outlineLevel="2" x14ac:dyDescent="0.2">
      <c r="A29" s="9" t="s">
        <v>33</v>
      </c>
      <c r="B29" s="30">
        <v>387</v>
      </c>
      <c r="C29" s="30">
        <v>63</v>
      </c>
      <c r="D29" s="30">
        <v>13</v>
      </c>
      <c r="E29" s="30">
        <v>7</v>
      </c>
      <c r="F29" s="30">
        <v>4</v>
      </c>
      <c r="G29" s="36">
        <v>-2</v>
      </c>
      <c r="H29" s="30">
        <v>14</v>
      </c>
      <c r="I29" s="36">
        <v>-22</v>
      </c>
      <c r="J29" s="36">
        <v>-4</v>
      </c>
      <c r="K29" s="30">
        <v>4</v>
      </c>
      <c r="L29" s="30">
        <v>13.89</v>
      </c>
      <c r="M29" s="30">
        <v>7.351</v>
      </c>
    </row>
    <row r="30" spans="1:13" ht="14.95" customHeight="1" outlineLevel="1" x14ac:dyDescent="0.25">
      <c r="A30" s="21" t="s">
        <v>34</v>
      </c>
      <c r="B30" s="29">
        <v>251</v>
      </c>
      <c r="C30" s="29">
        <v>257</v>
      </c>
      <c r="D30" s="29">
        <v>262</v>
      </c>
      <c r="E30" s="29">
        <v>236</v>
      </c>
      <c r="F30" s="29">
        <v>184</v>
      </c>
      <c r="G30" s="29">
        <v>52</v>
      </c>
      <c r="H30" s="29">
        <v>58</v>
      </c>
      <c r="I30" s="29">
        <v>61</v>
      </c>
      <c r="J30" s="29">
        <v>58</v>
      </c>
      <c r="K30" s="29">
        <v>47</v>
      </c>
      <c r="L30" s="29">
        <v>46.133000000000003</v>
      </c>
      <c r="M30" s="29">
        <v>10.443</v>
      </c>
    </row>
    <row r="31" spans="1:13" ht="14.95" customHeight="1" outlineLevel="2" x14ac:dyDescent="0.2">
      <c r="A31" s="9" t="s">
        <v>35</v>
      </c>
      <c r="B31" s="30">
        <v>251</v>
      </c>
      <c r="C31" s="30">
        <v>257</v>
      </c>
      <c r="D31" s="30">
        <v>262</v>
      </c>
      <c r="E31" s="30">
        <v>236</v>
      </c>
      <c r="F31" s="30">
        <v>184</v>
      </c>
      <c r="G31" s="30">
        <v>52</v>
      </c>
      <c r="H31" s="30">
        <v>58</v>
      </c>
      <c r="I31" s="30">
        <v>61</v>
      </c>
      <c r="J31" s="30">
        <v>58</v>
      </c>
      <c r="K31" s="30">
        <v>47</v>
      </c>
      <c r="L31" s="30">
        <v>46.133000000000003</v>
      </c>
      <c r="M31" s="30">
        <v>10.443</v>
      </c>
    </row>
    <row r="32" spans="1:13" ht="14.95" customHeight="1" outlineLevel="1" x14ac:dyDescent="0.25">
      <c r="A32" s="21" t="s">
        <v>36</v>
      </c>
      <c r="B32" s="29">
        <v>-72</v>
      </c>
      <c r="C32" s="29">
        <v>-174</v>
      </c>
      <c r="D32" s="29">
        <v>1414</v>
      </c>
      <c r="E32" s="29">
        <v>-100</v>
      </c>
      <c r="F32" s="29">
        <v>84</v>
      </c>
      <c r="G32" s="29">
        <v>45</v>
      </c>
      <c r="H32" s="29">
        <v>46</v>
      </c>
      <c r="I32" s="29">
        <v>13</v>
      </c>
      <c r="J32" s="29">
        <v>56</v>
      </c>
      <c r="K32" s="29">
        <v>201</v>
      </c>
      <c r="L32" s="29">
        <v>37.354999999999997</v>
      </c>
      <c r="M32" s="16"/>
    </row>
    <row r="33" spans="1:13" ht="14.95" customHeight="1" outlineLevel="2" x14ac:dyDescent="0.2">
      <c r="A33" s="9" t="s">
        <v>38</v>
      </c>
      <c r="B33" s="30">
        <v>0</v>
      </c>
      <c r="C33" s="30">
        <v>0</v>
      </c>
      <c r="D33" s="30">
        <v>1353</v>
      </c>
      <c r="E33" s="30">
        <v>0</v>
      </c>
      <c r="F33" s="30">
        <v>84</v>
      </c>
      <c r="G33" s="30">
        <v>30</v>
      </c>
      <c r="H33" s="30">
        <v>2</v>
      </c>
      <c r="I33" s="30">
        <v>13</v>
      </c>
      <c r="J33" s="30">
        <v>19</v>
      </c>
      <c r="K33" s="30">
        <v>131</v>
      </c>
      <c r="L33" s="30">
        <v>37.354999999999997</v>
      </c>
      <c r="M33" s="30">
        <v>0</v>
      </c>
    </row>
    <row r="34" spans="1:13" ht="14.95" customHeight="1" outlineLevel="2" x14ac:dyDescent="0.2">
      <c r="A34" s="10" t="s">
        <v>296</v>
      </c>
      <c r="B34" s="23"/>
      <c r="C34" s="23"/>
      <c r="D34" s="23"/>
      <c r="E34" s="23"/>
      <c r="F34" s="31">
        <v>0</v>
      </c>
      <c r="G34" s="31">
        <v>15</v>
      </c>
      <c r="H34" s="31">
        <v>44</v>
      </c>
      <c r="I34" s="31">
        <v>0</v>
      </c>
      <c r="J34" s="31">
        <v>16</v>
      </c>
      <c r="K34" s="31">
        <v>70</v>
      </c>
      <c r="L34" s="23"/>
      <c r="M34" s="23"/>
    </row>
    <row r="35" spans="1:13" ht="14.95" customHeight="1" outlineLevel="2" x14ac:dyDescent="0.25">
      <c r="A35" s="12" t="s">
        <v>295</v>
      </c>
      <c r="B35" s="2"/>
      <c r="C35" s="37">
        <v>194</v>
      </c>
      <c r="D35" s="37">
        <v>-61</v>
      </c>
      <c r="E35" s="37">
        <v>100</v>
      </c>
      <c r="F35" s="2"/>
      <c r="G35" s="2"/>
      <c r="H35" s="2"/>
      <c r="I35" s="2"/>
      <c r="J35" s="2"/>
      <c r="K35" s="2"/>
      <c r="L35" s="2"/>
      <c r="M35" s="2"/>
    </row>
    <row r="36" spans="1:13" ht="14.95" customHeight="1" outlineLevel="3" x14ac:dyDescent="0.2">
      <c r="A36" s="14" t="s">
        <v>294</v>
      </c>
      <c r="B36" s="23"/>
      <c r="C36" s="31">
        <v>194</v>
      </c>
      <c r="D36" s="38">
        <v>-61</v>
      </c>
      <c r="E36" s="31">
        <v>100</v>
      </c>
      <c r="F36" s="23"/>
      <c r="G36" s="23"/>
      <c r="H36" s="23"/>
      <c r="I36" s="23"/>
      <c r="J36" s="23"/>
      <c r="K36" s="23"/>
      <c r="L36" s="23"/>
      <c r="M36" s="23"/>
    </row>
    <row r="37" spans="1:13" ht="14.95" customHeight="1" outlineLevel="2" x14ac:dyDescent="0.25">
      <c r="A37" s="12" t="s">
        <v>39</v>
      </c>
      <c r="B37" s="2"/>
      <c r="C37" s="37">
        <v>20</v>
      </c>
      <c r="D37" s="2"/>
      <c r="E37" s="2"/>
      <c r="F37" s="2"/>
      <c r="G37" s="2"/>
      <c r="H37" s="2"/>
      <c r="I37" s="2"/>
      <c r="J37" s="37">
        <v>21</v>
      </c>
      <c r="K37" s="2"/>
      <c r="L37" s="2"/>
      <c r="M37" s="2"/>
    </row>
    <row r="38" spans="1:13" ht="14.95" customHeight="1" outlineLevel="3" x14ac:dyDescent="0.2">
      <c r="A38" s="14" t="s">
        <v>40</v>
      </c>
      <c r="B38" s="23"/>
      <c r="C38" s="23"/>
      <c r="D38" s="23"/>
      <c r="E38" s="23"/>
      <c r="F38" s="23"/>
      <c r="G38" s="23"/>
      <c r="H38" s="23"/>
      <c r="I38" s="23"/>
      <c r="J38" s="31">
        <v>21</v>
      </c>
      <c r="K38" s="23"/>
      <c r="L38" s="23"/>
      <c r="M38" s="23"/>
    </row>
    <row r="39" spans="1:13" ht="14.95" customHeight="1" outlineLevel="3" x14ac:dyDescent="0.2">
      <c r="A39" s="13" t="s">
        <v>293</v>
      </c>
      <c r="B39" s="25"/>
      <c r="C39" s="30">
        <v>20</v>
      </c>
      <c r="D39" s="25"/>
      <c r="E39" s="25"/>
      <c r="F39" s="25"/>
      <c r="G39" s="25"/>
      <c r="H39" s="25"/>
      <c r="I39" s="25"/>
      <c r="J39" s="25"/>
      <c r="K39" s="25"/>
      <c r="L39" s="25"/>
      <c r="M39" s="25"/>
    </row>
    <row r="40" spans="1:13" ht="14.95" customHeight="1" x14ac:dyDescent="0.25">
      <c r="A40" s="16" t="s">
        <v>41</v>
      </c>
      <c r="B40" s="29">
        <v>61121</v>
      </c>
      <c r="C40" s="29">
        <v>33818</v>
      </c>
      <c r="D40" s="29">
        <v>4181</v>
      </c>
      <c r="E40" s="29">
        <v>9941</v>
      </c>
      <c r="F40" s="29">
        <v>4409</v>
      </c>
      <c r="G40" s="29">
        <v>2970</v>
      </c>
      <c r="H40" s="29">
        <v>3896</v>
      </c>
      <c r="I40" s="29">
        <v>3196</v>
      </c>
      <c r="J40" s="29">
        <v>1905</v>
      </c>
      <c r="K40" s="29">
        <v>743</v>
      </c>
      <c r="L40" s="29">
        <v>754.83600000000001</v>
      </c>
      <c r="M40" s="29">
        <v>510.25400000000002</v>
      </c>
    </row>
    <row r="41" spans="1:13" ht="14.95" customHeight="1" outlineLevel="1" x14ac:dyDescent="0.2">
      <c r="A41" s="4" t="s">
        <v>18</v>
      </c>
      <c r="B41" s="20">
        <v>451.03677399999998</v>
      </c>
      <c r="C41" s="20">
        <v>708.84954800000003</v>
      </c>
      <c r="D41" s="19">
        <v>-57.941856000000001</v>
      </c>
      <c r="E41" s="20">
        <v>125.47062699999999</v>
      </c>
      <c r="F41" s="20">
        <v>48.451180000000001</v>
      </c>
      <c r="G41" s="19">
        <v>-23.767966999999999</v>
      </c>
      <c r="H41" s="20">
        <v>21.902377999999999</v>
      </c>
      <c r="I41" s="20">
        <v>67.769028000000006</v>
      </c>
      <c r="J41" s="20">
        <v>156.39300499999999</v>
      </c>
      <c r="K41" s="19">
        <v>-1.5680229999999999</v>
      </c>
      <c r="L41" s="20">
        <v>47.933383999999997</v>
      </c>
      <c r="M41" s="19">
        <v>-22.926897</v>
      </c>
    </row>
    <row r="42" spans="1:13" ht="14.95" customHeight="1" outlineLevel="1" x14ac:dyDescent="0.2">
      <c r="A42" s="5" t="s">
        <v>25</v>
      </c>
      <c r="B42" s="7">
        <v>63.464753000000002</v>
      </c>
      <c r="C42" s="7">
        <v>55.510325000000002</v>
      </c>
      <c r="D42" s="7">
        <v>15.500111</v>
      </c>
      <c r="E42" s="7">
        <v>36.936166999999998</v>
      </c>
      <c r="F42" s="7">
        <v>26.44078</v>
      </c>
      <c r="G42" s="7">
        <v>27.202784000000001</v>
      </c>
      <c r="H42" s="7">
        <v>33.25367</v>
      </c>
      <c r="I42" s="7">
        <v>32.900967999999999</v>
      </c>
      <c r="J42" s="7">
        <v>27.568740999999999</v>
      </c>
      <c r="K42" s="7">
        <v>14.830339</v>
      </c>
      <c r="L42" s="7">
        <v>16.123781999999999</v>
      </c>
      <c r="M42" s="7">
        <v>12.354334</v>
      </c>
    </row>
    <row r="43" spans="1:13" ht="14.95" customHeight="1" outlineLevel="1" x14ac:dyDescent="0.25">
      <c r="A43" s="8" t="s">
        <v>42</v>
      </c>
      <c r="B43" s="37">
        <v>8113</v>
      </c>
      <c r="C43" s="37">
        <v>4058</v>
      </c>
      <c r="D43" s="37">
        <v>-187</v>
      </c>
      <c r="E43" s="37">
        <v>189</v>
      </c>
      <c r="F43" s="37">
        <v>77</v>
      </c>
      <c r="G43" s="37">
        <v>174</v>
      </c>
      <c r="H43" s="37">
        <v>-245</v>
      </c>
      <c r="I43" s="37">
        <v>149</v>
      </c>
      <c r="J43" s="37">
        <v>239</v>
      </c>
      <c r="K43" s="37">
        <v>129</v>
      </c>
      <c r="L43" s="37">
        <v>124.249</v>
      </c>
      <c r="M43" s="37">
        <v>70.263999999999996</v>
      </c>
    </row>
    <row r="44" spans="1:13" ht="14.95" customHeight="1" outlineLevel="2" x14ac:dyDescent="0.2">
      <c r="A44" s="10" t="s">
        <v>43</v>
      </c>
      <c r="B44" s="23"/>
      <c r="C44" s="31">
        <v>6045</v>
      </c>
      <c r="D44" s="31">
        <v>1749</v>
      </c>
      <c r="E44" s="31">
        <v>524</v>
      </c>
      <c r="F44" s="31">
        <v>198</v>
      </c>
      <c r="G44" s="31">
        <v>69</v>
      </c>
      <c r="H44" s="31">
        <v>1</v>
      </c>
      <c r="I44" s="31">
        <v>465</v>
      </c>
      <c r="J44" s="31">
        <v>8</v>
      </c>
      <c r="K44" s="38">
        <v>-30</v>
      </c>
      <c r="L44" s="31">
        <v>24.324000000000002</v>
      </c>
      <c r="M44" s="31">
        <v>36.320999999999998</v>
      </c>
    </row>
    <row r="45" spans="1:13" ht="14.95" customHeight="1" outlineLevel="2" x14ac:dyDescent="0.2">
      <c r="A45" s="9" t="s">
        <v>44</v>
      </c>
      <c r="B45" s="25"/>
      <c r="C45" s="30">
        <v>502</v>
      </c>
      <c r="D45" s="30">
        <v>228</v>
      </c>
      <c r="E45" s="30">
        <v>71</v>
      </c>
      <c r="F45" s="30">
        <v>161</v>
      </c>
      <c r="G45" s="30">
        <v>87</v>
      </c>
      <c r="H45" s="30">
        <v>69</v>
      </c>
      <c r="I45" s="30">
        <v>43</v>
      </c>
      <c r="J45" s="30">
        <v>34</v>
      </c>
      <c r="K45" s="30">
        <v>25</v>
      </c>
      <c r="L45" s="30">
        <v>17.356000000000002</v>
      </c>
      <c r="M45" s="30">
        <v>18.513000000000002</v>
      </c>
    </row>
    <row r="46" spans="1:13" ht="14.95" customHeight="1" outlineLevel="2" x14ac:dyDescent="0.2">
      <c r="A46" s="10" t="s">
        <v>45</v>
      </c>
      <c r="B46" s="23"/>
      <c r="C46" s="38">
        <v>-2705</v>
      </c>
      <c r="D46" s="38">
        <v>-2165</v>
      </c>
      <c r="E46" s="38">
        <v>-420</v>
      </c>
      <c r="F46" s="38">
        <v>-246</v>
      </c>
      <c r="G46" s="31">
        <v>2</v>
      </c>
      <c r="H46" s="38">
        <v>-315</v>
      </c>
      <c r="I46" s="38">
        <v>-376</v>
      </c>
      <c r="J46" s="31">
        <v>199</v>
      </c>
      <c r="K46" s="31">
        <v>134</v>
      </c>
      <c r="L46" s="31">
        <v>83.826999999999998</v>
      </c>
      <c r="M46" s="31">
        <v>17.07</v>
      </c>
    </row>
    <row r="47" spans="1:13" ht="14.95" customHeight="1" outlineLevel="2" x14ac:dyDescent="0.2">
      <c r="A47" s="9" t="s">
        <v>46</v>
      </c>
      <c r="B47" s="25"/>
      <c r="C47" s="30">
        <v>216</v>
      </c>
      <c r="D47" s="30">
        <v>1</v>
      </c>
      <c r="E47" s="30">
        <v>14</v>
      </c>
      <c r="F47" s="36">
        <v>-36</v>
      </c>
      <c r="G47" s="30">
        <v>16</v>
      </c>
      <c r="H47" s="30">
        <v>0</v>
      </c>
      <c r="I47" s="30">
        <v>17</v>
      </c>
      <c r="J47" s="36">
        <v>-2</v>
      </c>
      <c r="K47" s="30">
        <v>0</v>
      </c>
      <c r="L47" s="36">
        <v>-1.258</v>
      </c>
      <c r="M47" s="36">
        <v>-1.64</v>
      </c>
    </row>
    <row r="48" spans="1:13" ht="14.95" customHeight="1" x14ac:dyDescent="0.25">
      <c r="A48" s="16" t="s">
        <v>48</v>
      </c>
      <c r="B48" s="29">
        <v>53008</v>
      </c>
      <c r="C48" s="29">
        <v>29760</v>
      </c>
      <c r="D48" s="29">
        <v>4368</v>
      </c>
      <c r="E48" s="29">
        <v>9752</v>
      </c>
      <c r="F48" s="29">
        <v>4332</v>
      </c>
      <c r="G48" s="29">
        <v>2796</v>
      </c>
      <c r="H48" s="29">
        <v>4141</v>
      </c>
      <c r="I48" s="29">
        <v>3047</v>
      </c>
      <c r="J48" s="29">
        <v>1666</v>
      </c>
      <c r="K48" s="29">
        <v>614</v>
      </c>
      <c r="L48" s="29">
        <v>630.58699999999999</v>
      </c>
      <c r="M48" s="29">
        <v>439.99</v>
      </c>
    </row>
    <row r="49" spans="1:13" ht="14.95" customHeight="1" outlineLevel="1" x14ac:dyDescent="0.2">
      <c r="A49" s="4" t="s">
        <v>18</v>
      </c>
      <c r="B49" s="20">
        <v>413.39468399999998</v>
      </c>
      <c r="C49" s="20">
        <v>581.31866500000001</v>
      </c>
      <c r="D49" s="19">
        <v>-55.209187</v>
      </c>
      <c r="E49" s="20">
        <v>125.11541699999999</v>
      </c>
      <c r="F49" s="20">
        <v>54.935623</v>
      </c>
      <c r="G49" s="19">
        <v>-32.480075999999997</v>
      </c>
      <c r="H49" s="20">
        <v>35.904167000000001</v>
      </c>
      <c r="I49" s="20">
        <v>82.893158</v>
      </c>
      <c r="J49" s="20">
        <v>171.33551</v>
      </c>
      <c r="K49" s="19">
        <v>-2.6304020000000001</v>
      </c>
      <c r="L49" s="20">
        <v>43.318485000000003</v>
      </c>
      <c r="M49" s="19">
        <v>-21.784565000000001</v>
      </c>
    </row>
    <row r="50" spans="1:13" ht="14.95" customHeight="1" outlineLevel="1" x14ac:dyDescent="0.2">
      <c r="A50" s="5" t="s">
        <v>25</v>
      </c>
      <c r="B50" s="7">
        <v>55.040650999999997</v>
      </c>
      <c r="C50" s="7">
        <v>48.849347999999999</v>
      </c>
      <c r="D50" s="7">
        <v>16.193370999999999</v>
      </c>
      <c r="E50" s="7">
        <v>36.233930000000001</v>
      </c>
      <c r="F50" s="7">
        <v>25.979009999999999</v>
      </c>
      <c r="G50" s="7">
        <v>25.609086000000001</v>
      </c>
      <c r="H50" s="7">
        <v>35.344828</v>
      </c>
      <c r="I50" s="7">
        <v>31.367099</v>
      </c>
      <c r="J50" s="7">
        <v>24.109985999999999</v>
      </c>
      <c r="K50" s="7">
        <v>12.255489000000001</v>
      </c>
      <c r="L50" s="7">
        <v>13.469744</v>
      </c>
      <c r="M50" s="7">
        <v>10.653093</v>
      </c>
    </row>
    <row r="51" spans="1:13" ht="14.95" customHeight="1" x14ac:dyDescent="0.25">
      <c r="A51" s="2" t="s">
        <v>49</v>
      </c>
      <c r="B51" s="37">
        <v>53008</v>
      </c>
      <c r="C51" s="37">
        <v>29760</v>
      </c>
      <c r="D51" s="37">
        <v>4368</v>
      </c>
      <c r="E51" s="37">
        <v>9752</v>
      </c>
      <c r="F51" s="37">
        <v>4332</v>
      </c>
      <c r="G51" s="37">
        <v>2796</v>
      </c>
      <c r="H51" s="37">
        <v>4141</v>
      </c>
      <c r="I51" s="37">
        <v>3047</v>
      </c>
      <c r="J51" s="37">
        <v>1666</v>
      </c>
      <c r="K51" s="37">
        <v>614</v>
      </c>
      <c r="L51" s="37">
        <v>630.58699999999999</v>
      </c>
      <c r="M51" s="37">
        <v>439.99</v>
      </c>
    </row>
    <row r="52" spans="1:13" ht="14.95" customHeight="1" outlineLevel="1" x14ac:dyDescent="0.2">
      <c r="A52" s="5" t="s">
        <v>18</v>
      </c>
      <c r="B52" s="7">
        <v>413.39468399999998</v>
      </c>
      <c r="C52" s="7">
        <v>581.31866500000001</v>
      </c>
      <c r="D52" s="6">
        <v>-55.209187</v>
      </c>
      <c r="E52" s="7">
        <v>125.11541699999999</v>
      </c>
      <c r="F52" s="7">
        <v>54.935623</v>
      </c>
      <c r="G52" s="6">
        <v>-32.480075999999997</v>
      </c>
      <c r="H52" s="7">
        <v>35.904167000000001</v>
      </c>
      <c r="I52" s="7">
        <v>82.893158</v>
      </c>
      <c r="J52" s="7">
        <v>171.33551</v>
      </c>
      <c r="K52" s="6">
        <v>-2.6304020000000001</v>
      </c>
      <c r="L52" s="7">
        <v>43.318485000000003</v>
      </c>
      <c r="M52" s="6">
        <v>-21.784565000000001</v>
      </c>
    </row>
    <row r="53" spans="1:13" ht="14.95" customHeight="1" outlineLevel="1" x14ac:dyDescent="0.2">
      <c r="A53" s="4" t="s">
        <v>25</v>
      </c>
      <c r="B53" s="20">
        <v>55.040650999999997</v>
      </c>
      <c r="C53" s="20">
        <v>48.849347999999999</v>
      </c>
      <c r="D53" s="20">
        <v>16.193370999999999</v>
      </c>
      <c r="E53" s="20">
        <v>36.233930000000001</v>
      </c>
      <c r="F53" s="20">
        <v>25.979009999999999</v>
      </c>
      <c r="G53" s="20">
        <v>25.609086000000001</v>
      </c>
      <c r="H53" s="20">
        <v>35.344828</v>
      </c>
      <c r="I53" s="20">
        <v>31.367099</v>
      </c>
      <c r="J53" s="20">
        <v>24.109985999999999</v>
      </c>
      <c r="K53" s="20">
        <v>12.255489000000001</v>
      </c>
      <c r="L53" s="20">
        <v>13.469744</v>
      </c>
      <c r="M53" s="20">
        <v>10.653093</v>
      </c>
    </row>
    <row r="54" spans="1:13" ht="14.95" customHeight="1" outlineLevel="1" x14ac:dyDescent="0.2">
      <c r="A54" s="5" t="s">
        <v>50</v>
      </c>
      <c r="B54" s="31">
        <v>53008</v>
      </c>
      <c r="C54" s="31">
        <v>29760</v>
      </c>
      <c r="D54" s="31">
        <v>4368</v>
      </c>
      <c r="E54" s="31">
        <v>9752</v>
      </c>
      <c r="F54" s="31">
        <v>4332</v>
      </c>
      <c r="G54" s="31">
        <v>2796</v>
      </c>
      <c r="H54" s="31">
        <v>4141</v>
      </c>
      <c r="I54" s="31">
        <v>3047</v>
      </c>
      <c r="J54" s="31">
        <v>1666</v>
      </c>
      <c r="K54" s="31">
        <v>614</v>
      </c>
      <c r="L54" s="31">
        <v>630.58699999999999</v>
      </c>
      <c r="M54" s="31">
        <v>439.99</v>
      </c>
    </row>
    <row r="55" spans="1:13" ht="14.95" customHeight="1" x14ac:dyDescent="0.25">
      <c r="A55" s="2" t="s">
        <v>51</v>
      </c>
      <c r="B55" s="2"/>
      <c r="C55" s="2"/>
      <c r="D55" s="2"/>
      <c r="E55" s="2"/>
      <c r="F55" s="2"/>
      <c r="G55" s="2"/>
      <c r="H55" s="2"/>
      <c r="I55" s="2"/>
      <c r="J55" s="2"/>
      <c r="K55" s="2"/>
      <c r="L55" s="2"/>
      <c r="M55" s="2"/>
    </row>
    <row r="56" spans="1:13" ht="14.95" customHeight="1" outlineLevel="1" x14ac:dyDescent="0.2">
      <c r="A56" s="5" t="s">
        <v>52</v>
      </c>
      <c r="B56" s="7">
        <v>2.131262</v>
      </c>
      <c r="C56" s="7">
        <v>1.18838</v>
      </c>
      <c r="D56" s="7">
        <v>0.21371399999999999</v>
      </c>
      <c r="E56" s="7">
        <v>0.38193300000000002</v>
      </c>
      <c r="F56" s="7">
        <v>0.174793</v>
      </c>
      <c r="G56" s="7">
        <v>0.114381</v>
      </c>
      <c r="H56" s="7">
        <v>0.16692799999999999</v>
      </c>
      <c r="I56" s="7">
        <v>0.12089</v>
      </c>
      <c r="J56" s="7">
        <v>6.5685999999999994E-2</v>
      </c>
      <c r="K56" s="7">
        <v>3.3159000000000001E-2</v>
      </c>
      <c r="L56" s="7">
        <v>2.9159000000000001E-2</v>
      </c>
      <c r="M56" s="7">
        <v>1.8502000000000001E-2</v>
      </c>
    </row>
    <row r="57" spans="1:13" ht="14.95" customHeight="1" outlineLevel="1" x14ac:dyDescent="0.25">
      <c r="A57" s="8" t="s">
        <v>53</v>
      </c>
      <c r="B57" s="28">
        <v>2.1524999999999999</v>
      </c>
      <c r="C57" s="28">
        <v>1.2054</v>
      </c>
      <c r="D57" s="28">
        <v>0.17560000000000001</v>
      </c>
      <c r="E57" s="28">
        <v>0.39069999999999999</v>
      </c>
      <c r="F57" s="28">
        <v>0.17549999999999999</v>
      </c>
      <c r="G57" s="28">
        <v>0.1148</v>
      </c>
      <c r="H57" s="28">
        <v>0.17030000000000001</v>
      </c>
      <c r="I57" s="28">
        <v>0.12720000000000001</v>
      </c>
      <c r="J57" s="28">
        <v>7.6999999999999999E-2</v>
      </c>
      <c r="K57" s="28">
        <v>2.8199999999999999E-2</v>
      </c>
      <c r="L57" s="28">
        <v>2.8500000000000001E-2</v>
      </c>
      <c r="M57" s="28">
        <v>1.8800000000000001E-2</v>
      </c>
    </row>
    <row r="58" spans="1:13" ht="14.95" customHeight="1" outlineLevel="2" x14ac:dyDescent="0.2">
      <c r="A58" s="10" t="s">
        <v>54</v>
      </c>
      <c r="B58" s="7">
        <v>24578</v>
      </c>
      <c r="C58" s="7">
        <v>24690</v>
      </c>
      <c r="D58" s="7">
        <v>24870</v>
      </c>
      <c r="E58" s="7">
        <v>24960</v>
      </c>
      <c r="F58" s="7">
        <v>24680</v>
      </c>
      <c r="G58" s="7">
        <v>24360</v>
      </c>
      <c r="H58" s="7">
        <v>24320</v>
      </c>
      <c r="I58" s="7">
        <v>23960</v>
      </c>
      <c r="J58" s="7">
        <v>21640</v>
      </c>
      <c r="K58" s="7">
        <v>21720</v>
      </c>
      <c r="L58" s="7">
        <v>22092.76</v>
      </c>
      <c r="M58" s="7">
        <v>23515.72</v>
      </c>
    </row>
    <row r="59" spans="1:13" ht="14.95" customHeight="1" outlineLevel="2" x14ac:dyDescent="0.2">
      <c r="A59" s="9" t="s">
        <v>55</v>
      </c>
      <c r="B59" s="20">
        <v>24562</v>
      </c>
      <c r="C59" s="20">
        <v>24640</v>
      </c>
      <c r="D59" s="20">
        <v>24660</v>
      </c>
      <c r="E59" s="20">
        <v>25060</v>
      </c>
      <c r="F59" s="20">
        <v>24800</v>
      </c>
      <c r="G59" s="20">
        <v>24480</v>
      </c>
      <c r="H59" s="20">
        <v>24240</v>
      </c>
      <c r="I59" s="20">
        <v>24240</v>
      </c>
      <c r="J59" s="20">
        <v>23400</v>
      </c>
      <c r="K59" s="20">
        <v>21560</v>
      </c>
      <c r="L59" s="20">
        <v>21796.52</v>
      </c>
      <c r="M59" s="20">
        <v>22719.869360000001</v>
      </c>
    </row>
    <row r="60" spans="1:13" ht="14.95" customHeight="1" outlineLevel="1" x14ac:dyDescent="0.25">
      <c r="A60" s="21" t="s">
        <v>56</v>
      </c>
      <c r="B60" s="27">
        <v>2.1299000000000001</v>
      </c>
      <c r="C60" s="27">
        <v>1.1933</v>
      </c>
      <c r="D60" s="27">
        <v>0.17419999999999999</v>
      </c>
      <c r="E60" s="27">
        <v>0.38469999999999999</v>
      </c>
      <c r="F60" s="27">
        <v>0.1724</v>
      </c>
      <c r="G60" s="27">
        <v>0.11310000000000001</v>
      </c>
      <c r="H60" s="27">
        <v>0.1658</v>
      </c>
      <c r="I60" s="27">
        <v>0.1205</v>
      </c>
      <c r="J60" s="27">
        <v>6.4199999999999993E-2</v>
      </c>
      <c r="K60" s="27">
        <v>2.7E-2</v>
      </c>
      <c r="L60" s="27">
        <v>2.8000000000000001E-2</v>
      </c>
      <c r="M60" s="27">
        <v>1.8499999999999999E-2</v>
      </c>
    </row>
    <row r="61" spans="1:13" ht="14.95" customHeight="1" outlineLevel="2" x14ac:dyDescent="0.2">
      <c r="A61" s="9" t="s">
        <v>57</v>
      </c>
      <c r="B61" s="20">
        <v>24848</v>
      </c>
      <c r="C61" s="20">
        <v>24940</v>
      </c>
      <c r="D61" s="20">
        <v>25070</v>
      </c>
      <c r="E61" s="20">
        <v>25350</v>
      </c>
      <c r="F61" s="20">
        <v>25120</v>
      </c>
      <c r="G61" s="20">
        <v>24720</v>
      </c>
      <c r="H61" s="20">
        <v>25000</v>
      </c>
      <c r="I61" s="20">
        <v>25280</v>
      </c>
      <c r="J61" s="20">
        <v>25960</v>
      </c>
      <c r="K61" s="20">
        <v>22760</v>
      </c>
      <c r="L61" s="20">
        <v>22522.720000000001</v>
      </c>
      <c r="M61" s="20">
        <v>23780.68</v>
      </c>
    </row>
    <row r="62" spans="1:13" ht="14.95" customHeight="1" outlineLevel="2" x14ac:dyDescent="0.2">
      <c r="A62" s="10" t="s">
        <v>55</v>
      </c>
      <c r="B62" s="7">
        <v>24562</v>
      </c>
      <c r="C62" s="7">
        <v>24640</v>
      </c>
      <c r="D62" s="7">
        <v>24660</v>
      </c>
      <c r="E62" s="7">
        <v>25060</v>
      </c>
      <c r="F62" s="7">
        <v>24800</v>
      </c>
      <c r="G62" s="7">
        <v>24480</v>
      </c>
      <c r="H62" s="7">
        <v>24240</v>
      </c>
      <c r="I62" s="7">
        <v>24240</v>
      </c>
      <c r="J62" s="7">
        <v>23400</v>
      </c>
      <c r="K62" s="7">
        <v>21560</v>
      </c>
      <c r="L62" s="7">
        <v>21796.52</v>
      </c>
      <c r="M62" s="7">
        <v>22719.869360000001</v>
      </c>
    </row>
    <row r="63" spans="1:13" ht="14.95" customHeight="1" outlineLevel="1" x14ac:dyDescent="0.2">
      <c r="A63" s="4" t="s">
        <v>58</v>
      </c>
      <c r="B63" s="25"/>
      <c r="C63" s="20">
        <v>68.524000000000001</v>
      </c>
      <c r="D63" s="20">
        <v>71.691999999999993</v>
      </c>
      <c r="E63" s="20">
        <v>65.286000000000001</v>
      </c>
      <c r="F63" s="20">
        <v>36.829000000000001</v>
      </c>
      <c r="G63" s="20">
        <v>49.201000000000001</v>
      </c>
      <c r="H63" s="20">
        <v>51.09</v>
      </c>
      <c r="I63" s="20">
        <v>62.73</v>
      </c>
      <c r="J63" s="20">
        <v>61.433999999999997</v>
      </c>
      <c r="K63" s="20">
        <v>78.069000000000003</v>
      </c>
      <c r="L63" s="20">
        <v>77.293000000000006</v>
      </c>
      <c r="M63" s="20">
        <v>77.799000000000007</v>
      </c>
    </row>
    <row r="64" spans="1:13" ht="14.95" customHeight="1" outlineLevel="1" x14ac:dyDescent="0.25">
      <c r="A64" s="21" t="s">
        <v>59</v>
      </c>
      <c r="B64" s="27">
        <v>2.1999999999999999E-2</v>
      </c>
      <c r="C64" s="27">
        <v>1.6E-2</v>
      </c>
      <c r="D64" s="27">
        <v>1.6E-2</v>
      </c>
      <c r="E64" s="27">
        <v>1.6E-2</v>
      </c>
      <c r="F64" s="27">
        <v>1.6E-2</v>
      </c>
      <c r="G64" s="27">
        <v>1.6E-2</v>
      </c>
      <c r="H64" s="27">
        <v>1.525E-2</v>
      </c>
      <c r="I64" s="27">
        <v>1.4250000000000001E-2</v>
      </c>
      <c r="J64" s="27">
        <v>1.213E-2</v>
      </c>
      <c r="K64" s="27">
        <v>9.8799999999999999E-3</v>
      </c>
      <c r="L64" s="27">
        <v>8.5000000000000006E-3</v>
      </c>
      <c r="M64" s="27">
        <v>7.7499999999999999E-3</v>
      </c>
    </row>
    <row r="65" spans="1:13" ht="14.95" customHeight="1" outlineLevel="2" x14ac:dyDescent="0.2">
      <c r="A65" s="9" t="s">
        <v>60</v>
      </c>
      <c r="B65" s="20">
        <v>1.0329120000000001</v>
      </c>
      <c r="C65" s="20">
        <v>1.3408199999999999</v>
      </c>
      <c r="D65" s="20">
        <v>9.1848449999999993</v>
      </c>
      <c r="E65" s="20">
        <v>4.1590850000000001</v>
      </c>
      <c r="F65" s="20">
        <v>9.280742</v>
      </c>
      <c r="G65" s="20">
        <v>14.146773</v>
      </c>
      <c r="H65" s="20">
        <v>9.1978290000000005</v>
      </c>
      <c r="I65" s="20">
        <v>11.825726</v>
      </c>
      <c r="J65" s="20">
        <v>18.894081</v>
      </c>
      <c r="K65" s="20">
        <v>36.592593000000001</v>
      </c>
      <c r="L65" s="20">
        <v>30.357143000000001</v>
      </c>
      <c r="M65" s="20">
        <v>41.891891999999999</v>
      </c>
    </row>
    <row r="66" spans="1:13" ht="14.95" customHeight="1" x14ac:dyDescent="0.25">
      <c r="A66" s="16" t="s">
        <v>61</v>
      </c>
      <c r="B66" s="16"/>
      <c r="C66" s="16"/>
      <c r="D66" s="16"/>
      <c r="E66" s="16"/>
      <c r="F66" s="16"/>
      <c r="G66" s="16"/>
      <c r="H66" s="16"/>
      <c r="I66" s="16"/>
      <c r="J66" s="16"/>
      <c r="K66" s="16"/>
      <c r="L66" s="16"/>
      <c r="M66" s="16"/>
    </row>
    <row r="67" spans="1:13" ht="14.95" customHeight="1" outlineLevel="1" x14ac:dyDescent="0.25">
      <c r="A67" s="8" t="s">
        <v>61</v>
      </c>
      <c r="B67" s="37">
        <v>61184</v>
      </c>
      <c r="C67" s="37">
        <v>34480</v>
      </c>
      <c r="D67" s="37">
        <v>7121</v>
      </c>
      <c r="E67" s="37">
        <v>11215</v>
      </c>
      <c r="F67" s="37">
        <v>5714</v>
      </c>
      <c r="G67" s="37">
        <v>3272</v>
      </c>
      <c r="H67" s="37">
        <v>4112</v>
      </c>
      <c r="I67" s="37">
        <v>3422</v>
      </c>
      <c r="J67" s="37">
        <v>2156</v>
      </c>
      <c r="K67" s="37">
        <v>1145</v>
      </c>
      <c r="L67" s="37">
        <v>1016.4690000000001</v>
      </c>
      <c r="M67" s="37">
        <v>735.375</v>
      </c>
    </row>
    <row r="68" spans="1:13" ht="14.95" customHeight="1" outlineLevel="2" x14ac:dyDescent="0.2">
      <c r="A68" s="10" t="s">
        <v>62</v>
      </c>
      <c r="B68" s="31">
        <v>59582</v>
      </c>
      <c r="C68" s="31">
        <v>32972</v>
      </c>
      <c r="D68" s="31">
        <v>5577</v>
      </c>
      <c r="E68" s="31">
        <v>10041</v>
      </c>
      <c r="F68" s="31">
        <v>4616</v>
      </c>
      <c r="G68" s="31">
        <v>2891</v>
      </c>
      <c r="H68" s="31">
        <v>3850</v>
      </c>
      <c r="I68" s="31">
        <v>3223</v>
      </c>
      <c r="J68" s="31">
        <v>1969</v>
      </c>
      <c r="K68" s="31">
        <v>948</v>
      </c>
      <c r="L68" s="31">
        <v>796.34400000000005</v>
      </c>
      <c r="M68" s="31">
        <v>496.22699999999998</v>
      </c>
    </row>
    <row r="69" spans="1:13" ht="14.95" customHeight="1" outlineLevel="2" x14ac:dyDescent="0.2">
      <c r="A69" s="9" t="s">
        <v>21</v>
      </c>
      <c r="B69" s="30">
        <v>1602</v>
      </c>
      <c r="C69" s="30">
        <v>1508</v>
      </c>
      <c r="D69" s="30">
        <v>1544</v>
      </c>
      <c r="E69" s="30">
        <v>1174</v>
      </c>
      <c r="F69" s="30">
        <v>1098</v>
      </c>
      <c r="G69" s="30">
        <v>381</v>
      </c>
      <c r="H69" s="30">
        <v>262</v>
      </c>
      <c r="I69" s="30">
        <v>199</v>
      </c>
      <c r="J69" s="30">
        <v>187</v>
      </c>
      <c r="K69" s="30">
        <v>197</v>
      </c>
      <c r="L69" s="30">
        <v>220.125</v>
      </c>
      <c r="M69" s="30">
        <v>239.148</v>
      </c>
    </row>
    <row r="70" spans="1:13" ht="14.95" customHeight="1" x14ac:dyDescent="0.2">
      <c r="A70" s="32" t="s">
        <v>63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B5F0-832B-1440-8355-6A5BA4722DD8}">
  <sheetPr>
    <outlinePr summaryBelow="0" summaryRight="0"/>
  </sheetPr>
  <dimension ref="A1:L17"/>
  <sheetViews>
    <sheetView workbookViewId="0">
      <selection activeCell="B13" sqref="B13"/>
    </sheetView>
  </sheetViews>
  <sheetFormatPr defaultColWidth="9.125" defaultRowHeight="14.95" customHeight="1" x14ac:dyDescent="0.2"/>
  <cols>
    <col min="1" max="1" width="33.875" customWidth="1"/>
    <col min="2" max="12" width="8" customWidth="1"/>
  </cols>
  <sheetData>
    <row r="1" spans="1:12" ht="14.95" customHeight="1" x14ac:dyDescent="0.25">
      <c r="A1" s="33" t="s">
        <v>231</v>
      </c>
    </row>
    <row r="2" spans="1:12" ht="14.95" customHeight="1" x14ac:dyDescent="0.2">
      <c r="A2" t="s">
        <v>230</v>
      </c>
    </row>
    <row r="3" spans="1:12" ht="14.95" customHeight="1" x14ac:dyDescent="0.2">
      <c r="A3" s="35" t="s">
        <v>229</v>
      </c>
    </row>
    <row r="4" spans="1:12" ht="14.95" customHeight="1" x14ac:dyDescent="0.2">
      <c r="A4" s="34"/>
      <c r="B4" s="34"/>
      <c r="C4" s="34"/>
      <c r="D4" s="34"/>
      <c r="E4" s="34"/>
      <c r="F4" s="34"/>
      <c r="G4" s="34"/>
      <c r="H4" s="34"/>
      <c r="I4" s="34"/>
      <c r="J4" s="34"/>
      <c r="K4" s="34"/>
      <c r="L4" s="34"/>
    </row>
    <row r="6" spans="1:12" ht="14.95" customHeight="1" x14ac:dyDescent="0.25">
      <c r="A6" s="1" t="s">
        <v>228</v>
      </c>
      <c r="B6" s="1"/>
      <c r="C6" s="1"/>
      <c r="D6" s="1"/>
      <c r="E6" s="1"/>
      <c r="F6" s="1"/>
      <c r="G6" s="1"/>
      <c r="H6" s="1"/>
      <c r="I6" s="1"/>
      <c r="J6" s="1"/>
      <c r="K6" s="1"/>
      <c r="L6" s="1"/>
    </row>
    <row r="7" spans="1:12" ht="14.95" customHeight="1" x14ac:dyDescent="0.25">
      <c r="A7" s="1" t="s">
        <v>227</v>
      </c>
      <c r="B7" s="1"/>
      <c r="C7" s="1"/>
      <c r="D7" s="1"/>
      <c r="E7" s="1"/>
      <c r="F7" s="1"/>
      <c r="G7" s="1"/>
      <c r="H7" s="1"/>
      <c r="I7" s="1"/>
      <c r="J7" s="1"/>
      <c r="K7" s="1"/>
      <c r="L7" s="1"/>
    </row>
    <row r="8" spans="1:12" ht="14.95" customHeight="1" x14ac:dyDescent="0.25">
      <c r="A8" s="1" t="s">
        <v>226</v>
      </c>
      <c r="B8" s="1"/>
      <c r="C8" s="1"/>
      <c r="D8" s="1"/>
      <c r="E8" s="1"/>
      <c r="F8" s="1"/>
      <c r="G8" s="1"/>
      <c r="H8" s="1"/>
      <c r="I8" s="1"/>
      <c r="J8" s="1"/>
      <c r="K8" s="1"/>
      <c r="L8" s="1"/>
    </row>
    <row r="9" spans="1:12" ht="14.95" customHeight="1" x14ac:dyDescent="0.25">
      <c r="A9" s="1"/>
      <c r="B9" s="1" t="s">
        <v>225</v>
      </c>
      <c r="C9" s="1" t="s">
        <v>224</v>
      </c>
      <c r="D9" s="1" t="s">
        <v>223</v>
      </c>
      <c r="E9" s="1" t="s">
        <v>222</v>
      </c>
      <c r="F9" s="1" t="s">
        <v>221</v>
      </c>
      <c r="G9" s="1" t="s">
        <v>220</v>
      </c>
      <c r="H9" s="1" t="s">
        <v>219</v>
      </c>
      <c r="I9" s="1" t="s">
        <v>218</v>
      </c>
      <c r="J9" s="1" t="s">
        <v>217</v>
      </c>
      <c r="K9" s="1" t="s">
        <v>216</v>
      </c>
      <c r="L9" s="1" t="s">
        <v>215</v>
      </c>
    </row>
    <row r="10" spans="1:12" ht="14.95" customHeight="1" x14ac:dyDescent="0.2">
      <c r="A10" s="25" t="s">
        <v>214</v>
      </c>
      <c r="B10" s="39">
        <v>41.293697999999999</v>
      </c>
      <c r="C10" s="39">
        <v>42.113475999999999</v>
      </c>
      <c r="D10" s="39">
        <v>45.973536000000003</v>
      </c>
      <c r="E10" s="39">
        <v>55.749504999999999</v>
      </c>
      <c r="F10" s="39">
        <v>45.212228000000003</v>
      </c>
      <c r="G10" s="39">
        <v>40.638680000000001</v>
      </c>
      <c r="H10" s="39">
        <v>49.069453000000003</v>
      </c>
      <c r="I10" s="39">
        <v>49.612996000000003</v>
      </c>
      <c r="J10" s="39">
        <v>43.115704999999998</v>
      </c>
      <c r="K10" s="39">
        <v>39.559237000000003</v>
      </c>
      <c r="L10" s="39">
        <v>30.860001</v>
      </c>
    </row>
    <row r="11" spans="1:12" ht="14.95" customHeight="1" x14ac:dyDescent="0.2">
      <c r="A11" s="23" t="s">
        <v>213</v>
      </c>
      <c r="B11" s="41">
        <v>28.449368</v>
      </c>
      <c r="C11" s="41">
        <v>28.977606000000002</v>
      </c>
      <c r="D11" s="41">
        <v>30.895161000000002</v>
      </c>
      <c r="E11" s="41">
        <v>34.906005999999998</v>
      </c>
      <c r="F11" s="41">
        <v>29.861557999999999</v>
      </c>
      <c r="G11" s="41">
        <v>28.110638999999999</v>
      </c>
      <c r="H11" s="41">
        <v>32.023580000000003</v>
      </c>
      <c r="I11" s="41">
        <v>32.034196000000001</v>
      </c>
      <c r="J11" s="41">
        <v>29.035053000000001</v>
      </c>
      <c r="K11" s="41">
        <v>27.453139</v>
      </c>
      <c r="L11" s="41">
        <v>22.719909999999999</v>
      </c>
    </row>
    <row r="12" spans="1:12" ht="14.95" customHeight="1" x14ac:dyDescent="0.2">
      <c r="A12" s="25" t="s">
        <v>212</v>
      </c>
      <c r="B12" s="39">
        <v>23.299935999999999</v>
      </c>
      <c r="C12" s="39">
        <v>23.382377000000002</v>
      </c>
      <c r="D12" s="39">
        <v>25.277723999999999</v>
      </c>
      <c r="E12" s="39">
        <v>28.372181999999999</v>
      </c>
      <c r="F12" s="39">
        <v>24.255465000000001</v>
      </c>
      <c r="G12" s="39">
        <v>23.030702000000002</v>
      </c>
      <c r="H12" s="39">
        <v>25.729319</v>
      </c>
      <c r="I12" s="39">
        <v>25.42811</v>
      </c>
      <c r="J12" s="39">
        <v>23.120422000000001</v>
      </c>
      <c r="K12" s="39">
        <v>21.4634</v>
      </c>
      <c r="L12" s="39">
        <v>17.812184999999999</v>
      </c>
    </row>
    <row r="13" spans="1:12" ht="14.95" customHeight="1" x14ac:dyDescent="0.2">
      <c r="A13" s="23" t="s">
        <v>211</v>
      </c>
      <c r="B13" s="41">
        <v>25.474741999999999</v>
      </c>
      <c r="C13" s="41">
        <v>25.168882</v>
      </c>
      <c r="D13" s="41">
        <v>26.834538999999999</v>
      </c>
      <c r="E13" s="41">
        <v>30.389403999999999</v>
      </c>
      <c r="F13" s="41">
        <v>27.578368999999999</v>
      </c>
      <c r="G13" s="41">
        <v>25.256899000000001</v>
      </c>
      <c r="H13" s="41">
        <v>27.910423999999999</v>
      </c>
      <c r="I13" s="41">
        <v>28.125098000000001</v>
      </c>
      <c r="J13" s="41">
        <v>26.005212</v>
      </c>
      <c r="K13" s="41">
        <v>23.925598000000001</v>
      </c>
      <c r="L13" s="41">
        <v>20.679684999999999</v>
      </c>
    </row>
    <row r="14" spans="1:12" ht="14.95" customHeight="1" x14ac:dyDescent="0.2">
      <c r="A14" s="25" t="s">
        <v>210</v>
      </c>
      <c r="B14" s="39">
        <v>45.148032999999998</v>
      </c>
      <c r="C14" s="39">
        <v>45.331108999999998</v>
      </c>
      <c r="D14" s="39">
        <v>48.804972999999997</v>
      </c>
      <c r="E14" s="39">
        <v>59.713214000000001</v>
      </c>
      <c r="F14" s="39">
        <v>51.406126</v>
      </c>
      <c r="G14" s="39">
        <v>44.566901999999999</v>
      </c>
      <c r="H14" s="39">
        <v>53.229129</v>
      </c>
      <c r="I14" s="39">
        <v>54.875110999999997</v>
      </c>
      <c r="J14" s="39">
        <v>48.495353000000001</v>
      </c>
      <c r="K14" s="39">
        <v>44.097321000000001</v>
      </c>
      <c r="L14" s="39">
        <v>35.828007999999997</v>
      </c>
    </row>
    <row r="15" spans="1:12" ht="14.95" customHeight="1" x14ac:dyDescent="0.2">
      <c r="A15" s="23" t="s">
        <v>209</v>
      </c>
      <c r="B15" s="41">
        <v>10.838839</v>
      </c>
      <c r="C15" s="41">
        <v>12.290995000000001</v>
      </c>
      <c r="D15" s="41">
        <v>8.056578</v>
      </c>
      <c r="E15" s="41">
        <v>16.889714999999999</v>
      </c>
      <c r="F15" s="41">
        <v>16.295434</v>
      </c>
      <c r="G15" s="41">
        <v>12.903193</v>
      </c>
      <c r="H15" s="41">
        <v>11.68759</v>
      </c>
      <c r="I15" s="41">
        <v>11.982391</v>
      </c>
      <c r="J15" s="41">
        <v>2.6723759999999999</v>
      </c>
      <c r="K15" s="41">
        <v>0.55467699999999998</v>
      </c>
      <c r="L15" s="40">
        <v>-7.7943199999999999</v>
      </c>
    </row>
    <row r="16" spans="1:12" ht="14.95" customHeight="1" x14ac:dyDescent="0.2">
      <c r="A16" s="25" t="s">
        <v>208</v>
      </c>
      <c r="B16" s="39">
        <v>31.104818999999999</v>
      </c>
      <c r="C16" s="39">
        <v>31.191607999999999</v>
      </c>
      <c r="D16" s="39">
        <v>32.797944999999999</v>
      </c>
      <c r="E16" s="39">
        <v>37.387773000000003</v>
      </c>
      <c r="F16" s="39">
        <v>33.952474000000002</v>
      </c>
      <c r="G16" s="39">
        <v>30.827874000000001</v>
      </c>
      <c r="H16" s="39">
        <v>34.738256999999997</v>
      </c>
      <c r="I16" s="39">
        <v>35.431846</v>
      </c>
      <c r="J16" s="39">
        <v>32.657825000000003</v>
      </c>
      <c r="K16" s="39">
        <v>30.602457000000001</v>
      </c>
      <c r="L16" s="39">
        <v>26.377482000000001</v>
      </c>
    </row>
    <row r="17" spans="1:1" ht="14.95" customHeight="1" x14ac:dyDescent="0.2">
      <c r="A17" s="32"/>
    </row>
  </sheetData>
  <hyperlinks>
    <hyperlink ref="B10" r:id="rId1" display="https://my.apps.factset.com/cpe-built-apps-server/fma-audit-report/index.html?_calendar=FIVEDAY&amp;_index=0&amp;_query=Rk1BX0xURF9FUSgnTFRNJywnMCcsJy0xMCcsJ0NZJywnTE9DQUwnLCdQT1JUQUdHJywnTUVBTlInKTs=&amp;_ticker=FI1305US&amp;display_string=audit&amp;HEIGHT=800&amp;WIDTH=1200&amp;WINDOW=POPUP" xr:uid="{0266A41A-77CE-D74E-B11B-9F9D00A7FC66}"/>
    <hyperlink ref="C10" r:id="rId2" display="https://my.apps.factset.com/cpe-built-apps-server/fma-audit-report/index.html?_calendar=FIVEDAY&amp;_index=1&amp;_query=Rk1BX0xURF9FUSgnTFRNJywnMCcsJy0xMCcsJ0NZJywnTE9DQUwnLCdQT1JUQUdHJywnTUVBTlInKTs=&amp;_ticker=FI1305US&amp;display_string=audit&amp;HEIGHT=800&amp;WIDTH=1200&amp;WINDOW=POPUP" xr:uid="{F13AFFC8-DD13-3C43-B587-DAF92A980D98}"/>
    <hyperlink ref="D10" r:id="rId3" display="https://my.apps.factset.com/cpe-built-apps-server/fma-audit-report/index.html?_calendar=FIVEDAY&amp;_index=2&amp;_query=Rk1BX0xURF9FUSgnTFRNJywnMCcsJy0xMCcsJ0NZJywnTE9DQUwnLCdQT1JUQUdHJywnTUVBTlInKTs=&amp;_ticker=FI1305US&amp;display_string=audit&amp;HEIGHT=800&amp;WIDTH=1200&amp;WINDOW=POPUP" xr:uid="{225D5A66-1015-7C41-8E80-E7504FB4F61F}"/>
    <hyperlink ref="E10" r:id="rId4" display="https://my.apps.factset.com/cpe-built-apps-server/fma-audit-report/index.html?_calendar=FIVEDAY&amp;_index=3&amp;_query=Rk1BX0xURF9FUSgnTFRNJywnMCcsJy0xMCcsJ0NZJywnTE9DQUwnLCdQT1JUQUdHJywnTUVBTlInKTs=&amp;_ticker=FI1305US&amp;display_string=audit&amp;HEIGHT=800&amp;WIDTH=1200&amp;WINDOW=POPUP" xr:uid="{AE415F79-3BAF-D343-8AC0-D08D87E33193}"/>
    <hyperlink ref="F10" r:id="rId5" display="https://my.apps.factset.com/cpe-built-apps-server/fma-audit-report/index.html?_calendar=FIVEDAY&amp;_index=4&amp;_query=Rk1BX0xURF9FUSgnTFRNJywnMCcsJy0xMCcsJ0NZJywnTE9DQUwnLCdQT1JUQUdHJywnTUVBTlInKTs=&amp;_ticker=FI1305US&amp;display_string=audit&amp;HEIGHT=800&amp;WIDTH=1200&amp;WINDOW=POPUP" xr:uid="{E3FF5979-31B3-5A4E-940E-17FBD56E0AD7}"/>
    <hyperlink ref="G10" r:id="rId6" display="https://my.apps.factset.com/cpe-built-apps-server/fma-audit-report/index.html?_calendar=FIVEDAY&amp;_index=5&amp;_query=Rk1BX0xURF9FUSgnTFRNJywnMCcsJy0xMCcsJ0NZJywnTE9DQUwnLCdQT1JUQUdHJywnTUVBTlInKTs=&amp;_ticker=FI1305US&amp;display_string=audit&amp;HEIGHT=800&amp;WIDTH=1200&amp;WINDOW=POPUP" xr:uid="{2727FD5F-4610-FF49-B8C5-E10B331E7E40}"/>
    <hyperlink ref="H10" r:id="rId7" display="https://my.apps.factset.com/cpe-built-apps-server/fma-audit-report/index.html?_calendar=FIVEDAY&amp;_index=6&amp;_query=Rk1BX0xURF9FUSgnTFRNJywnMCcsJy0xMCcsJ0NZJywnTE9DQUwnLCdQT1JUQUdHJywnTUVBTlInKTs=&amp;_ticker=FI1305US&amp;display_string=audit&amp;HEIGHT=800&amp;WIDTH=1200&amp;WINDOW=POPUP" xr:uid="{60116FD0-68A1-8140-B68F-0535586B057C}"/>
    <hyperlink ref="I10" r:id="rId8" display="https://my.apps.factset.com/cpe-built-apps-server/fma-audit-report/index.html?_calendar=FIVEDAY&amp;_index=7&amp;_query=Rk1BX0xURF9FUSgnTFRNJywnMCcsJy0xMCcsJ0NZJywnTE9DQUwnLCdQT1JUQUdHJywnTUVBTlInKTs=&amp;_ticker=FI1305US&amp;display_string=audit&amp;HEIGHT=800&amp;WIDTH=1200&amp;WINDOW=POPUP" xr:uid="{F5CC04E9-0CF5-FB4D-A11A-7205A498431F}"/>
    <hyperlink ref="J10" r:id="rId9" display="https://my.apps.factset.com/cpe-built-apps-server/fma-audit-report/index.html?_calendar=FIVEDAY&amp;_index=8&amp;_query=Rk1BX0xURF9FUSgnTFRNJywnMCcsJy0xMCcsJ0NZJywnTE9DQUwnLCdQT1JUQUdHJywnTUVBTlInKTs=&amp;_ticker=FI1305US&amp;display_string=audit&amp;HEIGHT=800&amp;WIDTH=1200&amp;WINDOW=POPUP" xr:uid="{56892378-D56A-1441-B861-11AF0B695853}"/>
    <hyperlink ref="K10" r:id="rId10" display="https://my.apps.factset.com/cpe-built-apps-server/fma-audit-report/index.html?_calendar=FIVEDAY&amp;_index=9&amp;_query=Rk1BX0xURF9FUSgnTFRNJywnMCcsJy0xMCcsJ0NZJywnTE9DQUwnLCdQT1JUQUdHJywnTUVBTlInKTs=&amp;_ticker=FI1305US&amp;display_string=audit&amp;HEIGHT=800&amp;WIDTH=1200&amp;WINDOW=POPUP" xr:uid="{40C6793F-1F38-8943-B74A-A89DD1A59829}"/>
    <hyperlink ref="L10" r:id="rId11" display="https://my.apps.factset.com/cpe-built-apps-server/fma-audit-report/index.html?_calendar=FIVEDAY&amp;_index=10&amp;_query=Rk1BX0xURF9FUSgnTFRNJywnMCcsJy0xMCcsJ0NZJywnTE9DQUwnLCdQT1JUQUdHJywnTUVBTlInKTs=&amp;_ticker=FI1305US&amp;display_string=audit&amp;HEIGHT=800&amp;WIDTH=1200&amp;WINDOW=POPUP" xr:uid="{C2E52DE8-A699-6B4A-BACB-89AA1F67EADF}"/>
    <hyperlink ref="B11" r:id="rId12" display="https://my.apps.factset.com/cpe-built-apps-server/fma-audit-report/index.html?_calendar=FIVEDAY&amp;_index=0&amp;_query=Rk1BX0xURF9UQ0FQKCdMVE0nLCcwJywnLTEwJywnQ1knLCdQT1JUQUdHJyk7&amp;_ticker=FI1305US&amp;display_string=audit&amp;HEIGHT=800&amp;WIDTH=1200&amp;WINDOW=POPUP" xr:uid="{DF33E886-F851-074C-A019-F202B124B974}"/>
    <hyperlink ref="C11" r:id="rId13" display="https://my.apps.factset.com/cpe-built-apps-server/fma-audit-report/index.html?_calendar=FIVEDAY&amp;_index=1&amp;_query=Rk1BX0xURF9UQ0FQKCdMVE0nLCcwJywnLTEwJywnQ1knLCdQT1JUQUdHJyk7&amp;_ticker=FI1305US&amp;display_string=audit&amp;HEIGHT=800&amp;WIDTH=1200&amp;WINDOW=POPUP" xr:uid="{87BD4B6C-11C1-DF40-BA34-575316D26D3C}"/>
    <hyperlink ref="D11" r:id="rId14" display="https://my.apps.factset.com/cpe-built-apps-server/fma-audit-report/index.html?_calendar=FIVEDAY&amp;_index=2&amp;_query=Rk1BX0xURF9UQ0FQKCdMVE0nLCcwJywnLTEwJywnQ1knLCdQT1JUQUdHJyk7&amp;_ticker=FI1305US&amp;display_string=audit&amp;HEIGHT=800&amp;WIDTH=1200&amp;WINDOW=POPUP" xr:uid="{CBAB5E98-B87F-4C49-99E8-1C8E178598CA}"/>
    <hyperlink ref="E11" r:id="rId15" display="https://my.apps.factset.com/cpe-built-apps-server/fma-audit-report/index.html?_calendar=FIVEDAY&amp;_index=3&amp;_query=Rk1BX0xURF9UQ0FQKCdMVE0nLCcwJywnLTEwJywnQ1knLCdQT1JUQUdHJyk7&amp;_ticker=FI1305US&amp;display_string=audit&amp;HEIGHT=800&amp;WIDTH=1200&amp;WINDOW=POPUP" xr:uid="{CEAB0CC5-AC87-7C43-8724-A2DD0450B8F6}"/>
    <hyperlink ref="F11" r:id="rId16" display="https://my.apps.factset.com/cpe-built-apps-server/fma-audit-report/index.html?_calendar=FIVEDAY&amp;_index=4&amp;_query=Rk1BX0xURF9UQ0FQKCdMVE0nLCcwJywnLTEwJywnQ1knLCdQT1JUQUdHJyk7&amp;_ticker=FI1305US&amp;display_string=audit&amp;HEIGHT=800&amp;WIDTH=1200&amp;WINDOW=POPUP" xr:uid="{B724344C-B587-5E40-A1DA-3F21ADA3959A}"/>
    <hyperlink ref="G11" r:id="rId17" display="https://my.apps.factset.com/cpe-built-apps-server/fma-audit-report/index.html?_calendar=FIVEDAY&amp;_index=5&amp;_query=Rk1BX0xURF9UQ0FQKCdMVE0nLCcwJywnLTEwJywnQ1knLCdQT1JUQUdHJyk7&amp;_ticker=FI1305US&amp;display_string=audit&amp;HEIGHT=800&amp;WIDTH=1200&amp;WINDOW=POPUP" xr:uid="{BCB41229-7EB1-3C45-A40B-52DB34CFB4B3}"/>
    <hyperlink ref="H11" r:id="rId18" display="https://my.apps.factset.com/cpe-built-apps-server/fma-audit-report/index.html?_calendar=FIVEDAY&amp;_index=6&amp;_query=Rk1BX0xURF9UQ0FQKCdMVE0nLCcwJywnLTEwJywnQ1knLCdQT1JUQUdHJyk7&amp;_ticker=FI1305US&amp;display_string=audit&amp;HEIGHT=800&amp;WIDTH=1200&amp;WINDOW=POPUP" xr:uid="{B9B94C25-4726-854F-9E46-0C683BCB6C82}"/>
    <hyperlink ref="I11" r:id="rId19" display="https://my.apps.factset.com/cpe-built-apps-server/fma-audit-report/index.html?_calendar=FIVEDAY&amp;_index=7&amp;_query=Rk1BX0xURF9UQ0FQKCdMVE0nLCcwJywnLTEwJywnQ1knLCdQT1JUQUdHJyk7&amp;_ticker=FI1305US&amp;display_string=audit&amp;HEIGHT=800&amp;WIDTH=1200&amp;WINDOW=POPUP" xr:uid="{18EBB2AD-8CAC-9E48-B0E3-7FD35FCA42FE}"/>
    <hyperlink ref="J11" r:id="rId20" display="https://my.apps.factset.com/cpe-built-apps-server/fma-audit-report/index.html?_calendar=FIVEDAY&amp;_index=8&amp;_query=Rk1BX0xURF9UQ0FQKCdMVE0nLCcwJywnLTEwJywnQ1knLCdQT1JUQUdHJyk7&amp;_ticker=FI1305US&amp;display_string=audit&amp;HEIGHT=800&amp;WIDTH=1200&amp;WINDOW=POPUP" xr:uid="{4F6BC219-1BAA-3B48-A632-DE6D506C1231}"/>
    <hyperlink ref="K11" r:id="rId21" display="https://my.apps.factset.com/cpe-built-apps-server/fma-audit-report/index.html?_calendar=FIVEDAY&amp;_index=9&amp;_query=Rk1BX0xURF9UQ0FQKCdMVE0nLCcwJywnLTEwJywnQ1knLCdQT1JUQUdHJyk7&amp;_ticker=FI1305US&amp;display_string=audit&amp;HEIGHT=800&amp;WIDTH=1200&amp;WINDOW=POPUP" xr:uid="{268EE3B6-E872-954F-A629-FCFA8298B586}"/>
    <hyperlink ref="L11" r:id="rId22" display="https://my.apps.factset.com/cpe-built-apps-server/fma-audit-report/index.html?_calendar=FIVEDAY&amp;_index=10&amp;_query=Rk1BX0xURF9UQ0FQKCdMVE0nLCcwJywnLTEwJywnQ1knLCdQT1JUQUdHJyk7&amp;_ticker=FI1305US&amp;display_string=audit&amp;HEIGHT=800&amp;WIDTH=1200&amp;WINDOW=POPUP" xr:uid="{8DBB0429-B856-AA4A-9D65-DFAE0FA2720D}"/>
    <hyperlink ref="B12" r:id="rId23" display="https://my.apps.factset.com/cpe-built-apps-server/fma-audit-report/index.html?_calendar=FIVEDAY&amp;_index=0&amp;_query=Rk1BX0xURF9BU1NFVFMoJ0xUTScsJzAnLCctMTAnLCdDWScsJ0xPQ0FMJywnUE9SVEFHRycsJ01FQU5SJyk7&amp;_ticker=FI1305US&amp;display_string=audit&amp;HEIGHT=800&amp;WIDTH=1200&amp;WINDOW=POPUP" xr:uid="{3AD7B38E-02E5-A74C-998C-86F58177B6E4}"/>
    <hyperlink ref="C12" r:id="rId24" display="https://my.apps.factset.com/cpe-built-apps-server/fma-audit-report/index.html?_calendar=FIVEDAY&amp;_index=1&amp;_query=Rk1BX0xURF9BU1NFVFMoJ0xUTScsJzAnLCctMTAnLCdDWScsJ0xPQ0FMJywnUE9SVEFHRycsJ01FQU5SJyk7&amp;_ticker=FI1305US&amp;display_string=audit&amp;HEIGHT=800&amp;WIDTH=1200&amp;WINDOW=POPUP" xr:uid="{5B7BB80D-D3DE-134E-BD90-1F373E0C4E2D}"/>
    <hyperlink ref="D12" r:id="rId25" display="https://my.apps.factset.com/cpe-built-apps-server/fma-audit-report/index.html?_calendar=FIVEDAY&amp;_index=2&amp;_query=Rk1BX0xURF9BU1NFVFMoJ0xUTScsJzAnLCctMTAnLCdDWScsJ0xPQ0FMJywnUE9SVEFHRycsJ01FQU5SJyk7&amp;_ticker=FI1305US&amp;display_string=audit&amp;HEIGHT=800&amp;WIDTH=1200&amp;WINDOW=POPUP" xr:uid="{F697FA5E-5FF5-8F42-A7CB-35363ACA0A48}"/>
    <hyperlink ref="E12" r:id="rId26" display="https://my.apps.factset.com/cpe-built-apps-server/fma-audit-report/index.html?_calendar=FIVEDAY&amp;_index=3&amp;_query=Rk1BX0xURF9BU1NFVFMoJ0xUTScsJzAnLCctMTAnLCdDWScsJ0xPQ0FMJywnUE9SVEFHRycsJ01FQU5SJyk7&amp;_ticker=FI1305US&amp;display_string=audit&amp;HEIGHT=800&amp;WIDTH=1200&amp;WINDOW=POPUP" xr:uid="{4E2FD9DF-5216-2D43-9760-C78E009A04D9}"/>
    <hyperlink ref="F12" r:id="rId27" display="https://my.apps.factset.com/cpe-built-apps-server/fma-audit-report/index.html?_calendar=FIVEDAY&amp;_index=4&amp;_query=Rk1BX0xURF9BU1NFVFMoJ0xUTScsJzAnLCctMTAnLCdDWScsJ0xPQ0FMJywnUE9SVEFHRycsJ01FQU5SJyk7&amp;_ticker=FI1305US&amp;display_string=audit&amp;HEIGHT=800&amp;WIDTH=1200&amp;WINDOW=POPUP" xr:uid="{62A4303F-4026-7548-B31C-CE40334B7E87}"/>
    <hyperlink ref="G12" r:id="rId28" display="https://my.apps.factset.com/cpe-built-apps-server/fma-audit-report/index.html?_calendar=FIVEDAY&amp;_index=5&amp;_query=Rk1BX0xURF9BU1NFVFMoJ0xUTScsJzAnLCctMTAnLCdDWScsJ0xPQ0FMJywnUE9SVEFHRycsJ01FQU5SJyk7&amp;_ticker=FI1305US&amp;display_string=audit&amp;HEIGHT=800&amp;WIDTH=1200&amp;WINDOW=POPUP" xr:uid="{646063AF-12F9-9640-A679-92796E7EA894}"/>
    <hyperlink ref="H12" r:id="rId29" display="https://my.apps.factset.com/cpe-built-apps-server/fma-audit-report/index.html?_calendar=FIVEDAY&amp;_index=6&amp;_query=Rk1BX0xURF9BU1NFVFMoJ0xUTScsJzAnLCctMTAnLCdDWScsJ0xPQ0FMJywnUE9SVEFHRycsJ01FQU5SJyk7&amp;_ticker=FI1305US&amp;display_string=audit&amp;HEIGHT=800&amp;WIDTH=1200&amp;WINDOW=POPUP" xr:uid="{A326B353-9498-544D-9423-F8E6D01340A4}"/>
    <hyperlink ref="I12" r:id="rId30" display="https://my.apps.factset.com/cpe-built-apps-server/fma-audit-report/index.html?_calendar=FIVEDAY&amp;_index=7&amp;_query=Rk1BX0xURF9BU1NFVFMoJ0xUTScsJzAnLCctMTAnLCdDWScsJ0xPQ0FMJywnUE9SVEFHRycsJ01FQU5SJyk7&amp;_ticker=FI1305US&amp;display_string=audit&amp;HEIGHT=800&amp;WIDTH=1200&amp;WINDOW=POPUP" xr:uid="{538A7236-9DB3-A24C-BD08-731548AAE6B6}"/>
    <hyperlink ref="J12" r:id="rId31" display="https://my.apps.factset.com/cpe-built-apps-server/fma-audit-report/index.html?_calendar=FIVEDAY&amp;_index=8&amp;_query=Rk1BX0xURF9BU1NFVFMoJ0xUTScsJzAnLCctMTAnLCdDWScsJ0xPQ0FMJywnUE9SVEFHRycsJ01FQU5SJyk7&amp;_ticker=FI1305US&amp;display_string=audit&amp;HEIGHT=800&amp;WIDTH=1200&amp;WINDOW=POPUP" xr:uid="{C9EF3463-0F21-F945-8FC8-8CD34CA5CCB5}"/>
    <hyperlink ref="K12" r:id="rId32" display="https://my.apps.factset.com/cpe-built-apps-server/fma-audit-report/index.html?_calendar=FIVEDAY&amp;_index=9&amp;_query=Rk1BX0xURF9BU1NFVFMoJ0xUTScsJzAnLCctMTAnLCdDWScsJ0xPQ0FMJywnUE9SVEFHRycsJ01FQU5SJyk7&amp;_ticker=FI1305US&amp;display_string=audit&amp;HEIGHT=800&amp;WIDTH=1200&amp;WINDOW=POPUP" xr:uid="{461993DE-9A2F-5A4A-8F08-3E5FBB05F998}"/>
    <hyperlink ref="L12" r:id="rId33" display="https://my.apps.factset.com/cpe-built-apps-server/fma-audit-report/index.html?_calendar=FIVEDAY&amp;_index=10&amp;_query=Rk1BX0xURF9BU1NFVFMoJ0xUTScsJzAnLCctMTAnLCdDWScsJ0xPQ0FMJywnUE9SVEFHRycsJ01FQU5SJyk7&amp;_ticker=FI1305US&amp;display_string=audit&amp;HEIGHT=800&amp;WIDTH=1200&amp;WINDOW=POPUP" xr:uid="{8A9F7DC1-AB9A-EC42-BB27-69A8F1DEAB22}"/>
    <hyperlink ref="B13" r:id="rId34" display="https://my.apps.factset.com/cpe-built-apps-server/fma-audit-report/index.html?_calendar=FIVEDAY&amp;_index=0&amp;_query=Rk1BX0RFQlRfQVNTRVRTKCdMVE0nLCcwJywnLTEwJywnQ1knLCdQT1JUQUdHJyk7&amp;_ticker=FI1305US&amp;display_string=audit&amp;HEIGHT=800&amp;WIDTH=1200&amp;WINDOW=POPUP" xr:uid="{6A699D84-6B54-2E41-8183-FD27F77A03BB}"/>
    <hyperlink ref="C13" r:id="rId35" display="https://my.apps.factset.com/cpe-built-apps-server/fma-audit-report/index.html?_calendar=FIVEDAY&amp;_index=1&amp;_query=Rk1BX0RFQlRfQVNTRVRTKCdMVE0nLCcwJywnLTEwJywnQ1knLCdQT1JUQUdHJyk7&amp;_ticker=FI1305US&amp;display_string=audit&amp;HEIGHT=800&amp;WIDTH=1200&amp;WINDOW=POPUP" xr:uid="{660B8D6F-4F14-3F49-B9B3-8BA0E2650802}"/>
    <hyperlink ref="D13" r:id="rId36" display="https://my.apps.factset.com/cpe-built-apps-server/fma-audit-report/index.html?_calendar=FIVEDAY&amp;_index=2&amp;_query=Rk1BX0RFQlRfQVNTRVRTKCdMVE0nLCcwJywnLTEwJywnQ1knLCdQT1JUQUdHJyk7&amp;_ticker=FI1305US&amp;display_string=audit&amp;HEIGHT=800&amp;WIDTH=1200&amp;WINDOW=POPUP" xr:uid="{07E8DCD1-CA5D-C848-A55A-28D53F74D915}"/>
    <hyperlink ref="E13" r:id="rId37" display="https://my.apps.factset.com/cpe-built-apps-server/fma-audit-report/index.html?_calendar=FIVEDAY&amp;_index=3&amp;_query=Rk1BX0RFQlRfQVNTRVRTKCdMVE0nLCcwJywnLTEwJywnQ1knLCdQT1JUQUdHJyk7&amp;_ticker=FI1305US&amp;display_string=audit&amp;HEIGHT=800&amp;WIDTH=1200&amp;WINDOW=POPUP" xr:uid="{CF698003-133D-D143-AE5B-E0160E6FF004}"/>
    <hyperlink ref="F13" r:id="rId38" display="https://my.apps.factset.com/cpe-built-apps-server/fma-audit-report/index.html?_calendar=FIVEDAY&amp;_index=4&amp;_query=Rk1BX0RFQlRfQVNTRVRTKCdMVE0nLCcwJywnLTEwJywnQ1knLCdQT1JUQUdHJyk7&amp;_ticker=FI1305US&amp;display_string=audit&amp;HEIGHT=800&amp;WIDTH=1200&amp;WINDOW=POPUP" xr:uid="{9A4C113A-261A-C84D-95FF-5E48E4DD83A6}"/>
    <hyperlink ref="G13" r:id="rId39" display="https://my.apps.factset.com/cpe-built-apps-server/fma-audit-report/index.html?_calendar=FIVEDAY&amp;_index=5&amp;_query=Rk1BX0RFQlRfQVNTRVRTKCdMVE0nLCcwJywnLTEwJywnQ1knLCdQT1JUQUdHJyk7&amp;_ticker=FI1305US&amp;display_string=audit&amp;HEIGHT=800&amp;WIDTH=1200&amp;WINDOW=POPUP" xr:uid="{0C3A411B-863D-4B4F-BB9C-08E7DE91FDC3}"/>
    <hyperlink ref="H13" r:id="rId40" display="https://my.apps.factset.com/cpe-built-apps-server/fma-audit-report/index.html?_calendar=FIVEDAY&amp;_index=6&amp;_query=Rk1BX0RFQlRfQVNTRVRTKCdMVE0nLCcwJywnLTEwJywnQ1knLCdQT1JUQUdHJyk7&amp;_ticker=FI1305US&amp;display_string=audit&amp;HEIGHT=800&amp;WIDTH=1200&amp;WINDOW=POPUP" xr:uid="{C4E17B20-55EE-1D4F-A442-83A052D0388C}"/>
    <hyperlink ref="I13" r:id="rId41" display="https://my.apps.factset.com/cpe-built-apps-server/fma-audit-report/index.html?_calendar=FIVEDAY&amp;_index=7&amp;_query=Rk1BX0RFQlRfQVNTRVRTKCdMVE0nLCcwJywnLTEwJywnQ1knLCdQT1JUQUdHJyk7&amp;_ticker=FI1305US&amp;display_string=audit&amp;HEIGHT=800&amp;WIDTH=1200&amp;WINDOW=POPUP" xr:uid="{B573A2DE-4940-A047-AA4D-0FA1D1FE75FF}"/>
    <hyperlink ref="J13" r:id="rId42" display="https://my.apps.factset.com/cpe-built-apps-server/fma-audit-report/index.html?_calendar=FIVEDAY&amp;_index=8&amp;_query=Rk1BX0RFQlRfQVNTRVRTKCdMVE0nLCcwJywnLTEwJywnQ1knLCdQT1JUQUdHJyk7&amp;_ticker=FI1305US&amp;display_string=audit&amp;HEIGHT=800&amp;WIDTH=1200&amp;WINDOW=POPUP" xr:uid="{A3F1D30B-D047-294F-85C0-3A7B3312D0DD}"/>
    <hyperlink ref="K13" r:id="rId43" display="https://my.apps.factset.com/cpe-built-apps-server/fma-audit-report/index.html?_calendar=FIVEDAY&amp;_index=9&amp;_query=Rk1BX0RFQlRfQVNTRVRTKCdMVE0nLCcwJywnLTEwJywnQ1knLCdQT1JUQUdHJyk7&amp;_ticker=FI1305US&amp;display_string=audit&amp;HEIGHT=800&amp;WIDTH=1200&amp;WINDOW=POPUP" xr:uid="{BE47F39E-E7C6-DA4F-BC0A-43AAE9714668}"/>
    <hyperlink ref="L13" r:id="rId44" display="https://my.apps.factset.com/cpe-built-apps-server/fma-audit-report/index.html?_calendar=FIVEDAY&amp;_index=10&amp;_query=Rk1BX0RFQlRfQVNTRVRTKCdMVE0nLCcwJywnLTEwJywnQ1knLCdQT1JUQUdHJyk7&amp;_ticker=FI1305US&amp;display_string=audit&amp;HEIGHT=800&amp;WIDTH=1200&amp;WINDOW=POPUP" xr:uid="{D97067B2-D602-6046-8EBA-0DF818DE94C4}"/>
    <hyperlink ref="B14" r:id="rId45" display="https://my.apps.factset.com/cpe-built-apps-server/fma-audit-report/index.html?_calendar=FIVEDAY&amp;_index=0&amp;_query=Rk1BX0RFQlRfRVEoJ0xUTScsJzAnLCctMTAnLCdDWScsJ1BPUlRBR0cnKTs=&amp;_ticker=FI1305US&amp;display_string=audit&amp;HEIGHT=800&amp;WIDTH=1200&amp;WINDOW=POPUP" xr:uid="{ADB2D6A2-73FF-BF41-B559-7ADE69A2C4EB}"/>
    <hyperlink ref="C14" r:id="rId46" display="https://my.apps.factset.com/cpe-built-apps-server/fma-audit-report/index.html?_calendar=FIVEDAY&amp;_index=1&amp;_query=Rk1BX0RFQlRfRVEoJ0xUTScsJzAnLCctMTAnLCdDWScsJ1BPUlRBR0cnKTs=&amp;_ticker=FI1305US&amp;display_string=audit&amp;HEIGHT=800&amp;WIDTH=1200&amp;WINDOW=POPUP" xr:uid="{CD2D4C7F-D01E-9147-828C-1E842AD2C6E5}"/>
    <hyperlink ref="D14" r:id="rId47" display="https://my.apps.factset.com/cpe-built-apps-server/fma-audit-report/index.html?_calendar=FIVEDAY&amp;_index=2&amp;_query=Rk1BX0RFQlRfRVEoJ0xUTScsJzAnLCctMTAnLCdDWScsJ1BPUlRBR0cnKTs=&amp;_ticker=FI1305US&amp;display_string=audit&amp;HEIGHT=800&amp;WIDTH=1200&amp;WINDOW=POPUP" xr:uid="{D192211D-B06C-4240-91FF-64ABC29957BF}"/>
    <hyperlink ref="E14" r:id="rId48" display="https://my.apps.factset.com/cpe-built-apps-server/fma-audit-report/index.html?_calendar=FIVEDAY&amp;_index=3&amp;_query=Rk1BX0RFQlRfRVEoJ0xUTScsJzAnLCctMTAnLCdDWScsJ1BPUlRBR0cnKTs=&amp;_ticker=FI1305US&amp;display_string=audit&amp;HEIGHT=800&amp;WIDTH=1200&amp;WINDOW=POPUP" xr:uid="{911C252E-9104-D049-8973-D988E98ECB5B}"/>
    <hyperlink ref="F14" r:id="rId49" display="https://my.apps.factset.com/cpe-built-apps-server/fma-audit-report/index.html?_calendar=FIVEDAY&amp;_index=4&amp;_query=Rk1BX0RFQlRfRVEoJ0xUTScsJzAnLCctMTAnLCdDWScsJ1BPUlRBR0cnKTs=&amp;_ticker=FI1305US&amp;display_string=audit&amp;HEIGHT=800&amp;WIDTH=1200&amp;WINDOW=POPUP" xr:uid="{3B7AE5E6-644A-3D49-9472-4548FB5F3A53}"/>
    <hyperlink ref="G14" r:id="rId50" display="https://my.apps.factset.com/cpe-built-apps-server/fma-audit-report/index.html?_calendar=FIVEDAY&amp;_index=5&amp;_query=Rk1BX0RFQlRfRVEoJ0xUTScsJzAnLCctMTAnLCdDWScsJ1BPUlRBR0cnKTs=&amp;_ticker=FI1305US&amp;display_string=audit&amp;HEIGHT=800&amp;WIDTH=1200&amp;WINDOW=POPUP" xr:uid="{84970EBB-D3F9-C343-9544-618D5C6BC06A}"/>
    <hyperlink ref="H14" r:id="rId51" display="https://my.apps.factset.com/cpe-built-apps-server/fma-audit-report/index.html?_calendar=FIVEDAY&amp;_index=6&amp;_query=Rk1BX0RFQlRfRVEoJ0xUTScsJzAnLCctMTAnLCdDWScsJ1BPUlRBR0cnKTs=&amp;_ticker=FI1305US&amp;display_string=audit&amp;HEIGHT=800&amp;WIDTH=1200&amp;WINDOW=POPUP" xr:uid="{33718491-F443-B346-80A0-ABF5039299E1}"/>
    <hyperlink ref="I14" r:id="rId52" display="https://my.apps.factset.com/cpe-built-apps-server/fma-audit-report/index.html?_calendar=FIVEDAY&amp;_index=7&amp;_query=Rk1BX0RFQlRfRVEoJ0xUTScsJzAnLCctMTAnLCdDWScsJ1BPUlRBR0cnKTs=&amp;_ticker=FI1305US&amp;display_string=audit&amp;HEIGHT=800&amp;WIDTH=1200&amp;WINDOW=POPUP" xr:uid="{48E4161A-23B5-DF47-9FD6-4E6192A5EC5B}"/>
    <hyperlink ref="J14" r:id="rId53" display="https://my.apps.factset.com/cpe-built-apps-server/fma-audit-report/index.html?_calendar=FIVEDAY&amp;_index=8&amp;_query=Rk1BX0RFQlRfRVEoJ0xUTScsJzAnLCctMTAnLCdDWScsJ1BPUlRBR0cnKTs=&amp;_ticker=FI1305US&amp;display_string=audit&amp;HEIGHT=800&amp;WIDTH=1200&amp;WINDOW=POPUP" xr:uid="{E65F3E37-0ADA-F444-8D08-638D763E597A}"/>
    <hyperlink ref="K14" r:id="rId54" display="https://my.apps.factset.com/cpe-built-apps-server/fma-audit-report/index.html?_calendar=FIVEDAY&amp;_index=9&amp;_query=Rk1BX0RFQlRfRVEoJ0xUTScsJzAnLCctMTAnLCdDWScsJ1BPUlRBR0cnKTs=&amp;_ticker=FI1305US&amp;display_string=audit&amp;HEIGHT=800&amp;WIDTH=1200&amp;WINDOW=POPUP" xr:uid="{8D8CC0E1-EB24-8D49-8135-3340DD982C0E}"/>
    <hyperlink ref="L14" r:id="rId55" display="https://my.apps.factset.com/cpe-built-apps-server/fma-audit-report/index.html?_calendar=FIVEDAY&amp;_index=10&amp;_query=Rk1BX0RFQlRfRVEoJ0xUTScsJzAnLCctMTAnLCdDWScsJ1BPUlRBR0cnKTs=&amp;_ticker=FI1305US&amp;display_string=audit&amp;HEIGHT=800&amp;WIDTH=1200&amp;WINDOW=POPUP" xr:uid="{53E0207D-71ED-A14E-A373-C3D94C0F5AC3}"/>
    <hyperlink ref="B15" r:id="rId56" display="https://my.apps.factset.com/cpe-built-apps-server/fma-audit-report/index.html?_calendar=FIVEDAY&amp;_index=0&amp;_query=Rk1BX05ERUJUX1RDQVAoJ0xUTScsJzAnLCctMTAnLCdDWScsJ0xPQ0FMJywnUE9SVEFHRycsJ01FQU5SJyk7&amp;_ticker=FI1305US&amp;display_string=audit&amp;HEIGHT=800&amp;WIDTH=1200&amp;WINDOW=POPUP" xr:uid="{7AA2C7C7-4911-1F4B-9620-E334CC9B6298}"/>
    <hyperlink ref="C15" r:id="rId57" display="https://my.apps.factset.com/cpe-built-apps-server/fma-audit-report/index.html?_calendar=FIVEDAY&amp;_index=1&amp;_query=Rk1BX05ERUJUX1RDQVAoJ0xUTScsJzAnLCctMTAnLCdDWScsJ0xPQ0FMJywnUE9SVEFHRycsJ01FQU5SJyk7&amp;_ticker=FI1305US&amp;display_string=audit&amp;HEIGHT=800&amp;WIDTH=1200&amp;WINDOW=POPUP" xr:uid="{9AECF9FD-0F8F-7040-9BCA-F7F7E4E2BF1B}"/>
    <hyperlink ref="D15" r:id="rId58" display="https://my.apps.factset.com/cpe-built-apps-server/fma-audit-report/index.html?_calendar=FIVEDAY&amp;_index=2&amp;_query=Rk1BX05ERUJUX1RDQVAoJ0xUTScsJzAnLCctMTAnLCdDWScsJ0xPQ0FMJywnUE9SVEFHRycsJ01FQU5SJyk7&amp;_ticker=FI1305US&amp;display_string=audit&amp;HEIGHT=800&amp;WIDTH=1200&amp;WINDOW=POPUP" xr:uid="{C28C46A6-EAF0-4A45-9618-69E988B592FF}"/>
    <hyperlink ref="E15" r:id="rId59" display="https://my.apps.factset.com/cpe-built-apps-server/fma-audit-report/index.html?_calendar=FIVEDAY&amp;_index=3&amp;_query=Rk1BX05ERUJUX1RDQVAoJ0xUTScsJzAnLCctMTAnLCdDWScsJ0xPQ0FMJywnUE9SVEFHRycsJ01FQU5SJyk7&amp;_ticker=FI1305US&amp;display_string=audit&amp;HEIGHT=800&amp;WIDTH=1200&amp;WINDOW=POPUP" xr:uid="{8829D51C-D6F1-C740-B082-14C030485BF1}"/>
    <hyperlink ref="F15" r:id="rId60" display="https://my.apps.factset.com/cpe-built-apps-server/fma-audit-report/index.html?_calendar=FIVEDAY&amp;_index=4&amp;_query=Rk1BX05ERUJUX1RDQVAoJ0xUTScsJzAnLCctMTAnLCdDWScsJ0xPQ0FMJywnUE9SVEFHRycsJ01FQU5SJyk7&amp;_ticker=FI1305US&amp;display_string=audit&amp;HEIGHT=800&amp;WIDTH=1200&amp;WINDOW=POPUP" xr:uid="{92E5DAE9-4324-C040-9DAE-8DDF09C0143E}"/>
    <hyperlink ref="G15" r:id="rId61" display="https://my.apps.factset.com/cpe-built-apps-server/fma-audit-report/index.html?_calendar=FIVEDAY&amp;_index=5&amp;_query=Rk1BX05ERUJUX1RDQVAoJ0xUTScsJzAnLCctMTAnLCdDWScsJ0xPQ0FMJywnUE9SVEFHRycsJ01FQU5SJyk7&amp;_ticker=FI1305US&amp;display_string=audit&amp;HEIGHT=800&amp;WIDTH=1200&amp;WINDOW=POPUP" xr:uid="{38078605-9F4E-0844-A135-3DBBCA7F00E2}"/>
    <hyperlink ref="H15" r:id="rId62" display="https://my.apps.factset.com/cpe-built-apps-server/fma-audit-report/index.html?_calendar=FIVEDAY&amp;_index=6&amp;_query=Rk1BX05ERUJUX1RDQVAoJ0xUTScsJzAnLCctMTAnLCdDWScsJ0xPQ0FMJywnUE9SVEFHRycsJ01FQU5SJyk7&amp;_ticker=FI1305US&amp;display_string=audit&amp;HEIGHT=800&amp;WIDTH=1200&amp;WINDOW=POPUP" xr:uid="{A06DE8B0-B05A-9844-B45B-05B199921067}"/>
    <hyperlink ref="I15" r:id="rId63" display="https://my.apps.factset.com/cpe-built-apps-server/fma-audit-report/index.html?_calendar=FIVEDAY&amp;_index=7&amp;_query=Rk1BX05ERUJUX1RDQVAoJ0xUTScsJzAnLCctMTAnLCdDWScsJ0xPQ0FMJywnUE9SVEFHRycsJ01FQU5SJyk7&amp;_ticker=FI1305US&amp;display_string=audit&amp;HEIGHT=800&amp;WIDTH=1200&amp;WINDOW=POPUP" xr:uid="{48C945D3-382A-4A42-98D5-9B89CA802892}"/>
    <hyperlink ref="J15" r:id="rId64" display="https://my.apps.factset.com/cpe-built-apps-server/fma-audit-report/index.html?_calendar=FIVEDAY&amp;_index=8&amp;_query=Rk1BX05ERUJUX1RDQVAoJ0xUTScsJzAnLCctMTAnLCdDWScsJ0xPQ0FMJywnUE9SVEFHRycsJ01FQU5SJyk7&amp;_ticker=FI1305US&amp;display_string=audit&amp;HEIGHT=800&amp;WIDTH=1200&amp;WINDOW=POPUP" xr:uid="{64239B71-0E1F-C347-B82A-E5C464C2781D}"/>
    <hyperlink ref="K15" r:id="rId65" display="https://my.apps.factset.com/cpe-built-apps-server/fma-audit-report/index.html?_calendar=FIVEDAY&amp;_index=9&amp;_query=Rk1BX05ERUJUX1RDQVAoJ0xUTScsJzAnLCctMTAnLCdDWScsJ0xPQ0FMJywnUE9SVEFHRycsJ01FQU5SJyk7&amp;_ticker=FI1305US&amp;display_string=audit&amp;HEIGHT=800&amp;WIDTH=1200&amp;WINDOW=POPUP" xr:uid="{14FC03A8-BEC3-5445-9E63-48F6D342DFB2}"/>
    <hyperlink ref="L15" r:id="rId66" display="https://my.apps.factset.com/cpe-built-apps-server/fma-audit-report/index.html?_calendar=FIVEDAY&amp;_index=10&amp;_query=Rk1BX05ERUJUX1RDQVAoJ0xUTScsJzAnLCctMTAnLCdDWScsJ0xPQ0FMJywnUE9SVEFHRycsJ01FQU5SJyk7&amp;_ticker=FI1305US&amp;display_string=audit&amp;HEIGHT=800&amp;WIDTH=1200&amp;WINDOW=POPUP" xr:uid="{D80F673B-9702-114F-A2E1-538AC077EDB6}"/>
    <hyperlink ref="B16" r:id="rId67" display="https://my.apps.factset.com/cpe-built-apps-server/fma-audit-report/index.html?_calendar=FIVEDAY&amp;_index=0&amp;_query=Rk1BX0RFQlRfVENBUCgnTFRNJywnMCcsJy0xMCcsJ0NZJywnUE9SVEFHRycpOw==&amp;_ticker=FI1305US&amp;display_string=audit&amp;HEIGHT=800&amp;WIDTH=1200&amp;WINDOW=POPUP" xr:uid="{56ED88B7-2F14-6E43-8729-03B68788A8B5}"/>
    <hyperlink ref="C16" r:id="rId68" display="https://my.apps.factset.com/cpe-built-apps-server/fma-audit-report/index.html?_calendar=FIVEDAY&amp;_index=1&amp;_query=Rk1BX0RFQlRfVENBUCgnTFRNJywnMCcsJy0xMCcsJ0NZJywnUE9SVEFHRycpOw==&amp;_ticker=FI1305US&amp;display_string=audit&amp;HEIGHT=800&amp;WIDTH=1200&amp;WINDOW=POPUP" xr:uid="{74E9C1D2-2B60-A74C-BC2E-516265571D1B}"/>
    <hyperlink ref="D16" r:id="rId69" display="https://my.apps.factset.com/cpe-built-apps-server/fma-audit-report/index.html?_calendar=FIVEDAY&amp;_index=2&amp;_query=Rk1BX0RFQlRfVENBUCgnTFRNJywnMCcsJy0xMCcsJ0NZJywnUE9SVEFHRycpOw==&amp;_ticker=FI1305US&amp;display_string=audit&amp;HEIGHT=800&amp;WIDTH=1200&amp;WINDOW=POPUP" xr:uid="{71A0C277-AA74-9849-9320-B094ECB88382}"/>
    <hyperlink ref="E16" r:id="rId70" display="https://my.apps.factset.com/cpe-built-apps-server/fma-audit-report/index.html?_calendar=FIVEDAY&amp;_index=3&amp;_query=Rk1BX0RFQlRfVENBUCgnTFRNJywnMCcsJy0xMCcsJ0NZJywnUE9SVEFHRycpOw==&amp;_ticker=FI1305US&amp;display_string=audit&amp;HEIGHT=800&amp;WIDTH=1200&amp;WINDOW=POPUP" xr:uid="{316DDBC4-1BAC-684A-8E81-9E4E4D1E352D}"/>
    <hyperlink ref="F16" r:id="rId71" display="https://my.apps.factset.com/cpe-built-apps-server/fma-audit-report/index.html?_calendar=FIVEDAY&amp;_index=4&amp;_query=Rk1BX0RFQlRfVENBUCgnTFRNJywnMCcsJy0xMCcsJ0NZJywnUE9SVEFHRycpOw==&amp;_ticker=FI1305US&amp;display_string=audit&amp;HEIGHT=800&amp;WIDTH=1200&amp;WINDOW=POPUP" xr:uid="{8D342154-7244-0242-B2F1-B02EFAC10A8D}"/>
    <hyperlink ref="G16" r:id="rId72" display="https://my.apps.factset.com/cpe-built-apps-server/fma-audit-report/index.html?_calendar=FIVEDAY&amp;_index=5&amp;_query=Rk1BX0RFQlRfVENBUCgnTFRNJywnMCcsJy0xMCcsJ0NZJywnUE9SVEFHRycpOw==&amp;_ticker=FI1305US&amp;display_string=audit&amp;HEIGHT=800&amp;WIDTH=1200&amp;WINDOW=POPUP" xr:uid="{D634FB44-31FD-A443-9D88-240714F9FEEF}"/>
    <hyperlink ref="H16" r:id="rId73" display="https://my.apps.factset.com/cpe-built-apps-server/fma-audit-report/index.html?_calendar=FIVEDAY&amp;_index=6&amp;_query=Rk1BX0RFQlRfVENBUCgnTFRNJywnMCcsJy0xMCcsJ0NZJywnUE9SVEFHRycpOw==&amp;_ticker=FI1305US&amp;display_string=audit&amp;HEIGHT=800&amp;WIDTH=1200&amp;WINDOW=POPUP" xr:uid="{A92CB57E-68B9-7549-834E-30BDBADAC431}"/>
    <hyperlink ref="I16" r:id="rId74" display="https://my.apps.factset.com/cpe-built-apps-server/fma-audit-report/index.html?_calendar=FIVEDAY&amp;_index=7&amp;_query=Rk1BX0RFQlRfVENBUCgnTFRNJywnMCcsJy0xMCcsJ0NZJywnUE9SVEFHRycpOw==&amp;_ticker=FI1305US&amp;display_string=audit&amp;HEIGHT=800&amp;WIDTH=1200&amp;WINDOW=POPUP" xr:uid="{D5D7CE8B-3936-8B43-BC2B-B934EE815DE0}"/>
    <hyperlink ref="J16" r:id="rId75" display="https://my.apps.factset.com/cpe-built-apps-server/fma-audit-report/index.html?_calendar=FIVEDAY&amp;_index=8&amp;_query=Rk1BX0RFQlRfVENBUCgnTFRNJywnMCcsJy0xMCcsJ0NZJywnUE9SVEFHRycpOw==&amp;_ticker=FI1305US&amp;display_string=audit&amp;HEIGHT=800&amp;WIDTH=1200&amp;WINDOW=POPUP" xr:uid="{B1BC3B4A-1ECD-9A40-8533-D4E5A3DE68EC}"/>
    <hyperlink ref="K16" r:id="rId76" display="https://my.apps.factset.com/cpe-built-apps-server/fma-audit-report/index.html?_calendar=FIVEDAY&amp;_index=9&amp;_query=Rk1BX0RFQlRfVENBUCgnTFRNJywnMCcsJy0xMCcsJ0NZJywnUE9SVEFHRycpOw==&amp;_ticker=FI1305US&amp;display_string=audit&amp;HEIGHT=800&amp;WIDTH=1200&amp;WINDOW=POPUP" xr:uid="{7AAE539E-4074-1945-AE0B-520F283D2F24}"/>
    <hyperlink ref="L16" r:id="rId77" display="https://my.apps.factset.com/cpe-built-apps-server/fma-audit-report/index.html?_calendar=FIVEDAY&amp;_index=10&amp;_query=Rk1BX0RFQlRfVENBUCgnTFRNJywnMCcsJy0xMCcsJ0NZJywnUE9SVEFHRycpOw==&amp;_ticker=FI1305US&amp;display_string=audit&amp;HEIGHT=800&amp;WIDTH=1200&amp;WINDOW=POPUP" xr:uid="{575D9AD3-BC47-8440-890F-E51069579C2B}"/>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CCAD0-68A1-174A-A18A-5B8CCC8CA059}">
  <sheetPr>
    <outlinePr summaryBelow="0" summaryRight="0"/>
  </sheetPr>
  <dimension ref="A1:L22"/>
  <sheetViews>
    <sheetView workbookViewId="0"/>
  </sheetViews>
  <sheetFormatPr defaultColWidth="9.125" defaultRowHeight="14.95" customHeight="1" x14ac:dyDescent="0.2"/>
  <cols>
    <col min="1" max="1" width="33.875" customWidth="1"/>
    <col min="2" max="12" width="8" customWidth="1"/>
  </cols>
  <sheetData>
    <row r="1" spans="1:12" ht="14.95" customHeight="1" x14ac:dyDescent="0.25">
      <c r="A1" s="33" t="s">
        <v>231</v>
      </c>
    </row>
    <row r="2" spans="1:12" ht="14.95" customHeight="1" x14ac:dyDescent="0.2">
      <c r="A2" t="s">
        <v>230</v>
      </c>
    </row>
    <row r="3" spans="1:12" ht="14.95" customHeight="1" x14ac:dyDescent="0.2">
      <c r="A3" s="35" t="s">
        <v>229</v>
      </c>
    </row>
    <row r="4" spans="1:12" ht="14.95" customHeight="1" x14ac:dyDescent="0.2">
      <c r="A4" s="34"/>
      <c r="B4" s="34"/>
      <c r="C4" s="34"/>
      <c r="D4" s="34"/>
      <c r="E4" s="34"/>
      <c r="F4" s="34"/>
      <c r="G4" s="34"/>
      <c r="H4" s="34"/>
      <c r="I4" s="34"/>
      <c r="J4" s="34"/>
      <c r="K4" s="34"/>
      <c r="L4" s="34"/>
    </row>
    <row r="6" spans="1:12" ht="14.95" customHeight="1" x14ac:dyDescent="0.25">
      <c r="A6" s="1" t="s">
        <v>228</v>
      </c>
      <c r="B6" s="1"/>
      <c r="C6" s="1"/>
      <c r="D6" s="1"/>
      <c r="E6" s="1"/>
      <c r="F6" s="1"/>
      <c r="G6" s="1"/>
      <c r="H6" s="1"/>
      <c r="I6" s="1"/>
      <c r="J6" s="1"/>
      <c r="K6" s="1"/>
      <c r="L6" s="1"/>
    </row>
    <row r="7" spans="1:12" ht="14.95" customHeight="1" x14ac:dyDescent="0.25">
      <c r="A7" s="1" t="s">
        <v>227</v>
      </c>
      <c r="B7" s="1"/>
      <c r="C7" s="1"/>
      <c r="D7" s="1"/>
      <c r="E7" s="1"/>
      <c r="F7" s="1"/>
      <c r="G7" s="1"/>
      <c r="H7" s="1"/>
      <c r="I7" s="1"/>
      <c r="J7" s="1"/>
      <c r="K7" s="1"/>
      <c r="L7" s="1"/>
    </row>
    <row r="8" spans="1:12" ht="14.95" customHeight="1" x14ac:dyDescent="0.25">
      <c r="A8" s="1" t="s">
        <v>226</v>
      </c>
      <c r="B8" s="1"/>
      <c r="C8" s="1"/>
      <c r="D8" s="1"/>
      <c r="E8" s="1"/>
      <c r="F8" s="1"/>
      <c r="G8" s="1"/>
      <c r="H8" s="1"/>
      <c r="I8" s="1"/>
      <c r="J8" s="1"/>
      <c r="K8" s="1"/>
      <c r="L8" s="1"/>
    </row>
    <row r="9" spans="1:12" ht="14.95" customHeight="1" x14ac:dyDescent="0.25">
      <c r="A9" s="1"/>
      <c r="B9" s="1" t="s">
        <v>225</v>
      </c>
      <c r="C9" s="1" t="s">
        <v>224</v>
      </c>
      <c r="D9" s="1" t="s">
        <v>223</v>
      </c>
      <c r="E9" s="1" t="s">
        <v>222</v>
      </c>
      <c r="F9" s="1" t="s">
        <v>221</v>
      </c>
      <c r="G9" s="1" t="s">
        <v>220</v>
      </c>
      <c r="H9" s="1" t="s">
        <v>219</v>
      </c>
      <c r="I9" s="1" t="s">
        <v>218</v>
      </c>
      <c r="J9" s="1" t="s">
        <v>217</v>
      </c>
      <c r="K9" s="1" t="s">
        <v>216</v>
      </c>
      <c r="L9" s="1" t="s">
        <v>215</v>
      </c>
    </row>
    <row r="10" spans="1:12" ht="14.95" customHeight="1" x14ac:dyDescent="0.2">
      <c r="A10" s="25" t="s">
        <v>243</v>
      </c>
      <c r="B10" s="39">
        <v>0.62115200000000004</v>
      </c>
      <c r="C10" s="39">
        <v>0.53917700000000002</v>
      </c>
      <c r="D10" s="39">
        <v>0.35222100000000001</v>
      </c>
      <c r="E10" s="39">
        <v>0.74431999999999998</v>
      </c>
      <c r="F10" s="39">
        <v>0.67861800000000005</v>
      </c>
      <c r="G10" s="39">
        <v>0.44759500000000002</v>
      </c>
      <c r="H10" s="39">
        <v>0.50790199999999996</v>
      </c>
      <c r="I10" s="39">
        <v>0.636772</v>
      </c>
      <c r="J10" s="39">
        <v>0.11545800000000001</v>
      </c>
      <c r="K10" s="39">
        <v>2.2076999999999999E-2</v>
      </c>
      <c r="L10" s="42">
        <v>-0.36668200000000001</v>
      </c>
    </row>
    <row r="11" spans="1:12" ht="14.95" customHeight="1" x14ac:dyDescent="0.2">
      <c r="A11" s="23" t="s">
        <v>242</v>
      </c>
      <c r="B11" s="41">
        <v>1.2214419999999999</v>
      </c>
      <c r="C11" s="41">
        <v>0.92990899999999999</v>
      </c>
      <c r="D11" s="41">
        <v>0.51890099999999995</v>
      </c>
      <c r="E11" s="41">
        <v>1.1187199999999999</v>
      </c>
      <c r="F11" s="41">
        <v>1.101194</v>
      </c>
      <c r="G11" s="41">
        <v>0.68050600000000006</v>
      </c>
      <c r="H11" s="41">
        <v>0.74700100000000003</v>
      </c>
      <c r="I11" s="41">
        <v>1.0449630000000001</v>
      </c>
      <c r="J11" s="41">
        <v>0.182419</v>
      </c>
      <c r="K11" s="41">
        <v>3.6311000000000003E-2</v>
      </c>
      <c r="L11" s="40">
        <v>-0.62704400000000005</v>
      </c>
    </row>
    <row r="12" spans="1:12" ht="14.95" customHeight="1" x14ac:dyDescent="0.2">
      <c r="A12" s="25" t="s">
        <v>241</v>
      </c>
      <c r="B12" s="39">
        <v>1.782554</v>
      </c>
      <c r="C12" s="39">
        <v>1.368303</v>
      </c>
      <c r="D12" s="39">
        <v>1.4338759999999999</v>
      </c>
      <c r="E12" s="39">
        <v>1.647659</v>
      </c>
      <c r="F12" s="39">
        <v>1.4139390000000001</v>
      </c>
      <c r="G12" s="39">
        <v>1.0693779999999999</v>
      </c>
      <c r="H12" s="39">
        <v>1.509603</v>
      </c>
      <c r="I12" s="39">
        <v>1.8829309999999999</v>
      </c>
      <c r="J12" s="39">
        <v>1.4109609999999999</v>
      </c>
      <c r="K12" s="39">
        <v>1.218046</v>
      </c>
      <c r="L12" s="39">
        <v>1.2409220000000001</v>
      </c>
    </row>
    <row r="13" spans="1:12" ht="14.95" customHeight="1" x14ac:dyDescent="0.2">
      <c r="A13" s="23" t="s">
        <v>240</v>
      </c>
      <c r="B13" s="41">
        <v>2.8872960000000001</v>
      </c>
      <c r="C13" s="41">
        <v>2.0244409999999999</v>
      </c>
      <c r="D13" s="41">
        <v>2.1721970000000002</v>
      </c>
      <c r="E13" s="41">
        <v>2.7907540000000002</v>
      </c>
      <c r="F13" s="41">
        <v>2.2926709999999999</v>
      </c>
      <c r="G13" s="41">
        <v>1.5023930000000001</v>
      </c>
      <c r="H13" s="41">
        <v>2.397192</v>
      </c>
      <c r="I13" s="41">
        <v>3.3627739999999999</v>
      </c>
      <c r="J13" s="41">
        <v>2.2476590000000001</v>
      </c>
      <c r="K13" s="41">
        <v>1.875078</v>
      </c>
      <c r="L13" s="41">
        <v>2.1300319999999999</v>
      </c>
    </row>
    <row r="14" spans="1:12" ht="14.95" customHeight="1" x14ac:dyDescent="0.2">
      <c r="A14" s="25" t="s">
        <v>239</v>
      </c>
      <c r="B14" s="39">
        <v>8.5449520000000003</v>
      </c>
      <c r="C14" s="39">
        <v>14.884891</v>
      </c>
      <c r="D14" s="39">
        <v>13.04419</v>
      </c>
      <c r="E14" s="39">
        <v>9.7807139999999997</v>
      </c>
      <c r="F14" s="39">
        <v>10.361878000000001</v>
      </c>
      <c r="G14" s="39">
        <v>16.725598000000002</v>
      </c>
      <c r="H14" s="39">
        <v>11.109911</v>
      </c>
      <c r="I14" s="39">
        <v>7.747617</v>
      </c>
      <c r="J14" s="39">
        <v>11.563312</v>
      </c>
      <c r="K14" s="39">
        <v>12.001382</v>
      </c>
      <c r="L14" s="39">
        <v>10.614253</v>
      </c>
    </row>
    <row r="15" spans="1:12" ht="14.95" customHeight="1" x14ac:dyDescent="0.2">
      <c r="A15" s="23" t="s">
        <v>238</v>
      </c>
      <c r="B15" s="41">
        <v>13.818555999999999</v>
      </c>
      <c r="C15" s="41">
        <v>22.018070000000002</v>
      </c>
      <c r="D15" s="41">
        <v>19.772631000000001</v>
      </c>
      <c r="E15" s="41">
        <v>16.570347999999999</v>
      </c>
      <c r="F15" s="41">
        <v>16.801559999999998</v>
      </c>
      <c r="G15" s="41">
        <v>23.498162000000001</v>
      </c>
      <c r="H15" s="41">
        <v>17.642111</v>
      </c>
      <c r="I15" s="41">
        <v>13.83666</v>
      </c>
      <c r="J15" s="41">
        <v>18.420342999999999</v>
      </c>
      <c r="K15" s="41">
        <v>18.459306999999999</v>
      </c>
      <c r="L15" s="41">
        <v>18.225396</v>
      </c>
    </row>
    <row r="16" spans="1:12" ht="14.95" customHeight="1" x14ac:dyDescent="0.2">
      <c r="A16" s="25" t="s">
        <v>237</v>
      </c>
      <c r="B16" s="39">
        <v>15.539704</v>
      </c>
      <c r="C16" s="39">
        <v>18.496496</v>
      </c>
      <c r="D16" s="39">
        <v>20.155753000000001</v>
      </c>
      <c r="E16" s="39">
        <v>17.479458999999999</v>
      </c>
      <c r="F16" s="39">
        <v>18.772929999999999</v>
      </c>
      <c r="G16" s="39">
        <v>25.519866</v>
      </c>
      <c r="H16" s="39">
        <v>16.875782000000001</v>
      </c>
      <c r="I16" s="39">
        <v>13.001891000000001</v>
      </c>
      <c r="J16" s="39">
        <v>17.975109</v>
      </c>
      <c r="K16" s="39">
        <v>18.671154000000001</v>
      </c>
      <c r="L16" s="39">
        <v>20.606066999999999</v>
      </c>
    </row>
    <row r="17" spans="1:12" ht="14.95" customHeight="1" x14ac:dyDescent="0.2">
      <c r="A17" s="23" t="s">
        <v>236</v>
      </c>
      <c r="B17" s="41">
        <v>1.630376</v>
      </c>
      <c r="C17" s="41">
        <v>1.27118</v>
      </c>
      <c r="D17" s="41">
        <v>1.350689</v>
      </c>
      <c r="E17" s="41">
        <v>1.538289</v>
      </c>
      <c r="F17" s="41">
        <v>1.243574</v>
      </c>
      <c r="G17" s="41">
        <v>0.97512100000000002</v>
      </c>
      <c r="H17" s="41">
        <v>1.3916329999999999</v>
      </c>
      <c r="I17" s="41">
        <v>1.702372</v>
      </c>
      <c r="J17" s="41">
        <v>1.2544409999999999</v>
      </c>
      <c r="K17" s="41">
        <v>1.0926959999999999</v>
      </c>
      <c r="L17" s="41">
        <v>1.0688519999999999</v>
      </c>
    </row>
    <row r="18" spans="1:12" ht="14.95" customHeight="1" x14ac:dyDescent="0.2">
      <c r="A18" s="25" t="s">
        <v>235</v>
      </c>
      <c r="B18" s="39">
        <v>61.404823</v>
      </c>
      <c r="C18" s="39">
        <v>54.508603000000001</v>
      </c>
      <c r="D18" s="39">
        <v>35.527076000000001</v>
      </c>
      <c r="E18" s="39">
        <v>76.423236000000003</v>
      </c>
      <c r="F18" s="39">
        <v>70.091775999999996</v>
      </c>
      <c r="G18" s="39">
        <v>49.606588000000002</v>
      </c>
      <c r="H18" s="39">
        <v>54.750698999999997</v>
      </c>
      <c r="I18" s="39">
        <v>71.381714000000002</v>
      </c>
      <c r="J18" s="39">
        <v>13.379075</v>
      </c>
      <c r="K18" s="39">
        <v>2.5086430000000002</v>
      </c>
      <c r="L18" s="42">
        <v>-39.504434000000003</v>
      </c>
    </row>
    <row r="19" spans="1:12" ht="14.95" customHeight="1" x14ac:dyDescent="0.2">
      <c r="A19" s="23" t="s">
        <v>234</v>
      </c>
      <c r="B19" s="41">
        <v>161.17302599999999</v>
      </c>
      <c r="C19" s="41">
        <v>128.511055</v>
      </c>
      <c r="D19" s="41">
        <v>136.23833400000001</v>
      </c>
      <c r="E19" s="41">
        <v>157.944052</v>
      </c>
      <c r="F19" s="41">
        <v>128.44393700000001</v>
      </c>
      <c r="G19" s="41">
        <v>108.071922</v>
      </c>
      <c r="H19" s="41">
        <v>150.014962</v>
      </c>
      <c r="I19" s="41">
        <v>190.83468300000001</v>
      </c>
      <c r="J19" s="41">
        <v>145.36209700000001</v>
      </c>
      <c r="K19" s="41">
        <v>124.162516</v>
      </c>
      <c r="L19" s="41">
        <v>115.152725</v>
      </c>
    </row>
    <row r="20" spans="1:12" ht="14.95" customHeight="1" x14ac:dyDescent="0.2">
      <c r="A20" s="25" t="s">
        <v>233</v>
      </c>
      <c r="B20" s="39">
        <v>23.20449</v>
      </c>
      <c r="C20" s="39">
        <v>23.978148000000001</v>
      </c>
      <c r="D20" s="39">
        <v>43.262726999999998</v>
      </c>
      <c r="E20" s="39">
        <v>38.567045</v>
      </c>
      <c r="F20" s="39">
        <v>42.379508999999999</v>
      </c>
      <c r="G20" s="39">
        <v>55.546664999999997</v>
      </c>
      <c r="H20" s="39">
        <v>37.499468999999998</v>
      </c>
      <c r="I20" s="39">
        <v>26.396166999999998</v>
      </c>
      <c r="J20" s="39">
        <v>32.911425000000001</v>
      </c>
      <c r="K20" s="39">
        <v>41.030504999999998</v>
      </c>
      <c r="L20" s="39">
        <v>47.464230999999998</v>
      </c>
    </row>
    <row r="21" spans="1:12" ht="14.95" customHeight="1" x14ac:dyDescent="0.2">
      <c r="A21" s="23" t="s">
        <v>232</v>
      </c>
      <c r="B21" s="41">
        <v>50.605530999999999</v>
      </c>
      <c r="C21" s="41">
        <v>54.495488999999999</v>
      </c>
      <c r="D21" s="41">
        <v>65.442622999999998</v>
      </c>
      <c r="E21" s="41">
        <v>58.703983000000001</v>
      </c>
      <c r="F21" s="41">
        <v>69.345489999999998</v>
      </c>
      <c r="G21" s="41">
        <v>87.403265000000005</v>
      </c>
      <c r="H21" s="41">
        <v>58.474345999999997</v>
      </c>
      <c r="I21" s="41">
        <v>46.820574000000001</v>
      </c>
      <c r="J21" s="41">
        <v>58.666381999999999</v>
      </c>
      <c r="K21" s="41">
        <v>73.077755999999994</v>
      </c>
      <c r="L21" s="41">
        <v>80.134488000000005</v>
      </c>
    </row>
    <row r="22" spans="1:12" ht="14.95" customHeight="1" x14ac:dyDescent="0.2">
      <c r="A22" s="32"/>
    </row>
  </sheetData>
  <hyperlinks>
    <hyperlink ref="B10" r:id="rId1" display="https://my.apps.factset.com/cpe-built-apps-server/fma-audit-report/index.html?_calendar=FIVEDAY&amp;_index=0&amp;_query=Rk1BX05ERUJUX0VCSVREQSgnTFRNJywnMCcsJy0xMCcsJ0NZJywsJ1BPUlRBR0cnLCdNRUFOUicpOw==&amp;_ticker=FI1305US&amp;display_string=audit&amp;HEIGHT=800&amp;WIDTH=1200&amp;WINDOW=POPUP" xr:uid="{D7FC935D-E43A-DE45-B59D-F89913DF2840}"/>
    <hyperlink ref="C10" r:id="rId2" display="https://my.apps.factset.com/cpe-built-apps-server/fma-audit-report/index.html?_calendar=FIVEDAY&amp;_index=1&amp;_query=Rk1BX05ERUJUX0VCSVREQSgnTFRNJywnMCcsJy0xMCcsJ0NZJywsJ1BPUlRBR0cnLCdNRUFOUicpOw==&amp;_ticker=FI1305US&amp;display_string=audit&amp;HEIGHT=800&amp;WIDTH=1200&amp;WINDOW=POPUP" xr:uid="{0A84C035-72F2-2948-9B9F-78872BD1E371}"/>
    <hyperlink ref="D10" r:id="rId3" display="https://my.apps.factset.com/cpe-built-apps-server/fma-audit-report/index.html?_calendar=FIVEDAY&amp;_index=2&amp;_query=Rk1BX05ERUJUX0VCSVREQSgnTFRNJywnMCcsJy0xMCcsJ0NZJywsJ1BPUlRBR0cnLCdNRUFOUicpOw==&amp;_ticker=FI1305US&amp;display_string=audit&amp;HEIGHT=800&amp;WIDTH=1200&amp;WINDOW=POPUP" xr:uid="{B55EDD2A-3125-BE4B-B0C9-5D188802C786}"/>
    <hyperlink ref="E10" r:id="rId4" display="https://my.apps.factset.com/cpe-built-apps-server/fma-audit-report/index.html?_calendar=FIVEDAY&amp;_index=3&amp;_query=Rk1BX05ERUJUX0VCSVREQSgnTFRNJywnMCcsJy0xMCcsJ0NZJywsJ1BPUlRBR0cnLCdNRUFOUicpOw==&amp;_ticker=FI1305US&amp;display_string=audit&amp;HEIGHT=800&amp;WIDTH=1200&amp;WINDOW=POPUP" xr:uid="{6C706D8D-BE7C-5549-85FD-CDA6445A37F6}"/>
    <hyperlink ref="F10" r:id="rId5" display="https://my.apps.factset.com/cpe-built-apps-server/fma-audit-report/index.html?_calendar=FIVEDAY&amp;_index=4&amp;_query=Rk1BX05ERUJUX0VCSVREQSgnTFRNJywnMCcsJy0xMCcsJ0NZJywsJ1BPUlRBR0cnLCdNRUFOUicpOw==&amp;_ticker=FI1305US&amp;display_string=audit&amp;HEIGHT=800&amp;WIDTH=1200&amp;WINDOW=POPUP" xr:uid="{009D743C-841C-5C4E-BE8A-F437369F3C96}"/>
    <hyperlink ref="G10" r:id="rId6" display="https://my.apps.factset.com/cpe-built-apps-server/fma-audit-report/index.html?_calendar=FIVEDAY&amp;_index=5&amp;_query=Rk1BX05ERUJUX0VCSVREQSgnTFRNJywnMCcsJy0xMCcsJ0NZJywsJ1BPUlRBR0cnLCdNRUFOUicpOw==&amp;_ticker=FI1305US&amp;display_string=audit&amp;HEIGHT=800&amp;WIDTH=1200&amp;WINDOW=POPUP" xr:uid="{382F499E-9BDF-7A46-B268-85AA47D61232}"/>
    <hyperlink ref="H10" r:id="rId7" display="https://my.apps.factset.com/cpe-built-apps-server/fma-audit-report/index.html?_calendar=FIVEDAY&amp;_index=6&amp;_query=Rk1BX05ERUJUX0VCSVREQSgnTFRNJywnMCcsJy0xMCcsJ0NZJywsJ1BPUlRBR0cnLCdNRUFOUicpOw==&amp;_ticker=FI1305US&amp;display_string=audit&amp;HEIGHT=800&amp;WIDTH=1200&amp;WINDOW=POPUP" xr:uid="{FE1E5A3D-8564-C446-9EC7-6AEB36C7DD72}"/>
    <hyperlink ref="I10" r:id="rId8" display="https://my.apps.factset.com/cpe-built-apps-server/fma-audit-report/index.html?_calendar=FIVEDAY&amp;_index=7&amp;_query=Rk1BX05ERUJUX0VCSVREQSgnTFRNJywnMCcsJy0xMCcsJ0NZJywsJ1BPUlRBR0cnLCdNRUFOUicpOw==&amp;_ticker=FI1305US&amp;display_string=audit&amp;HEIGHT=800&amp;WIDTH=1200&amp;WINDOW=POPUP" xr:uid="{855FBF8C-2806-FC44-872D-32EB4CB3D7D4}"/>
    <hyperlink ref="J10" r:id="rId9" display="https://my.apps.factset.com/cpe-built-apps-server/fma-audit-report/index.html?_calendar=FIVEDAY&amp;_index=8&amp;_query=Rk1BX05ERUJUX0VCSVREQSgnTFRNJywnMCcsJy0xMCcsJ0NZJywsJ1BPUlRBR0cnLCdNRUFOUicpOw==&amp;_ticker=FI1305US&amp;display_string=audit&amp;HEIGHT=800&amp;WIDTH=1200&amp;WINDOW=POPUP" xr:uid="{DE4624CE-CDBB-E445-8A61-0D888E07ADBB}"/>
    <hyperlink ref="K10" r:id="rId10" display="https://my.apps.factset.com/cpe-built-apps-server/fma-audit-report/index.html?_calendar=FIVEDAY&amp;_index=9&amp;_query=Rk1BX05ERUJUX0VCSVREQSgnTFRNJywnMCcsJy0xMCcsJ0NZJywsJ1BPUlRBR0cnLCdNRUFOUicpOw==&amp;_ticker=FI1305US&amp;display_string=audit&amp;HEIGHT=800&amp;WIDTH=1200&amp;WINDOW=POPUP" xr:uid="{BFAE9049-6939-EA4B-880E-27BA2887E87B}"/>
    <hyperlink ref="L10" r:id="rId11" display="https://my.apps.factset.com/cpe-built-apps-server/fma-audit-report/index.html?_calendar=FIVEDAY&amp;_index=10&amp;_query=Rk1BX05ERUJUX0VCSVREQSgnTFRNJywnMCcsJy0xMCcsJ0NZJywsJ1BPUlRBR0cnLCdNRUFOUicpOw==&amp;_ticker=FI1305US&amp;display_string=audit&amp;HEIGHT=800&amp;WIDTH=1200&amp;WINDOW=POPUP" xr:uid="{BDD6CD24-E828-9247-A33C-DB59383F8AB9}"/>
    <hyperlink ref="B11" r:id="rId12" display="https://my.apps.factset.com/cpe-built-apps-server/fma-audit-report/index.html?_calendar=FIVEDAY&amp;_index=0&amp;_query=Rk1BX05ERUJUX0VCSVREQV9NSU5fQ0FQRVgoJ0xUTScsJzAnLCctMTAnLCdDWScsJ0xPQ0FMJywnUE9SVEFHRycsJ01FQU5SJyk7&amp;_ticker=FI1305US&amp;display_string=audit&amp;HEIGHT=800&amp;WIDTH=1200&amp;WINDOW=POPUP" xr:uid="{EB4A9FC4-944E-8F42-865D-BEE4D0BB9DD0}"/>
    <hyperlink ref="C11" r:id="rId13" display="https://my.apps.factset.com/cpe-built-apps-server/fma-audit-report/index.html?_calendar=FIVEDAY&amp;_index=1&amp;_query=Rk1BX05ERUJUX0VCSVREQV9NSU5fQ0FQRVgoJ0xUTScsJzAnLCctMTAnLCdDWScsJ0xPQ0FMJywnUE9SVEFHRycsJ01FQU5SJyk7&amp;_ticker=FI1305US&amp;display_string=audit&amp;HEIGHT=800&amp;WIDTH=1200&amp;WINDOW=POPUP" xr:uid="{3123AF86-377B-9049-BE0F-536F9B3310F4}"/>
    <hyperlink ref="D11" r:id="rId14" display="https://my.apps.factset.com/cpe-built-apps-server/fma-audit-report/index.html?_calendar=FIVEDAY&amp;_index=2&amp;_query=Rk1BX05ERUJUX0VCSVREQV9NSU5fQ0FQRVgoJ0xUTScsJzAnLCctMTAnLCdDWScsJ0xPQ0FMJywnUE9SVEFHRycsJ01FQU5SJyk7&amp;_ticker=FI1305US&amp;display_string=audit&amp;HEIGHT=800&amp;WIDTH=1200&amp;WINDOW=POPUP" xr:uid="{0F0B61CF-2120-4948-8D0E-B080638CAF8C}"/>
    <hyperlink ref="E11" r:id="rId15" display="https://my.apps.factset.com/cpe-built-apps-server/fma-audit-report/index.html?_calendar=FIVEDAY&amp;_index=3&amp;_query=Rk1BX05ERUJUX0VCSVREQV9NSU5fQ0FQRVgoJ0xUTScsJzAnLCctMTAnLCdDWScsJ0xPQ0FMJywnUE9SVEFHRycsJ01FQU5SJyk7&amp;_ticker=FI1305US&amp;display_string=audit&amp;HEIGHT=800&amp;WIDTH=1200&amp;WINDOW=POPUP" xr:uid="{038DD2B7-357F-B04F-9E20-BF70C7B3F327}"/>
    <hyperlink ref="F11" r:id="rId16" display="https://my.apps.factset.com/cpe-built-apps-server/fma-audit-report/index.html?_calendar=FIVEDAY&amp;_index=4&amp;_query=Rk1BX05ERUJUX0VCSVREQV9NSU5fQ0FQRVgoJ0xUTScsJzAnLCctMTAnLCdDWScsJ0xPQ0FMJywnUE9SVEFHRycsJ01FQU5SJyk7&amp;_ticker=FI1305US&amp;display_string=audit&amp;HEIGHT=800&amp;WIDTH=1200&amp;WINDOW=POPUP" xr:uid="{F3EA6F67-021D-A34F-8E89-373A2AB4377B}"/>
    <hyperlink ref="G11" r:id="rId17" display="https://my.apps.factset.com/cpe-built-apps-server/fma-audit-report/index.html?_calendar=FIVEDAY&amp;_index=5&amp;_query=Rk1BX05ERUJUX0VCSVREQV9NSU5fQ0FQRVgoJ0xUTScsJzAnLCctMTAnLCdDWScsJ0xPQ0FMJywnUE9SVEFHRycsJ01FQU5SJyk7&amp;_ticker=FI1305US&amp;display_string=audit&amp;HEIGHT=800&amp;WIDTH=1200&amp;WINDOW=POPUP" xr:uid="{FD12C2AA-4902-C848-B99B-5C83AD5E94DB}"/>
    <hyperlink ref="H11" r:id="rId18" display="https://my.apps.factset.com/cpe-built-apps-server/fma-audit-report/index.html?_calendar=FIVEDAY&amp;_index=6&amp;_query=Rk1BX05ERUJUX0VCSVREQV9NSU5fQ0FQRVgoJ0xUTScsJzAnLCctMTAnLCdDWScsJ0xPQ0FMJywnUE9SVEFHRycsJ01FQU5SJyk7&amp;_ticker=FI1305US&amp;display_string=audit&amp;HEIGHT=800&amp;WIDTH=1200&amp;WINDOW=POPUP" xr:uid="{5B18FA81-2FB7-C246-AE60-BC778FD8792B}"/>
    <hyperlink ref="I11" r:id="rId19" display="https://my.apps.factset.com/cpe-built-apps-server/fma-audit-report/index.html?_calendar=FIVEDAY&amp;_index=7&amp;_query=Rk1BX05ERUJUX0VCSVREQV9NSU5fQ0FQRVgoJ0xUTScsJzAnLCctMTAnLCdDWScsJ0xPQ0FMJywnUE9SVEFHRycsJ01FQU5SJyk7&amp;_ticker=FI1305US&amp;display_string=audit&amp;HEIGHT=800&amp;WIDTH=1200&amp;WINDOW=POPUP" xr:uid="{00CDFAB3-0D5A-EE45-BBA0-3CF1B52735CE}"/>
    <hyperlink ref="J11" r:id="rId20" display="https://my.apps.factset.com/cpe-built-apps-server/fma-audit-report/index.html?_calendar=FIVEDAY&amp;_index=8&amp;_query=Rk1BX05ERUJUX0VCSVREQV9NSU5fQ0FQRVgoJ0xUTScsJzAnLCctMTAnLCdDWScsJ0xPQ0FMJywnUE9SVEFHRycsJ01FQU5SJyk7&amp;_ticker=FI1305US&amp;display_string=audit&amp;HEIGHT=800&amp;WIDTH=1200&amp;WINDOW=POPUP" xr:uid="{0906620B-D38B-1744-B6F7-56084917671F}"/>
    <hyperlink ref="K11" r:id="rId21" display="https://my.apps.factset.com/cpe-built-apps-server/fma-audit-report/index.html?_calendar=FIVEDAY&amp;_index=9&amp;_query=Rk1BX05ERUJUX0VCSVREQV9NSU5fQ0FQRVgoJ0xUTScsJzAnLCctMTAnLCdDWScsJ0xPQ0FMJywnUE9SVEFHRycsJ01FQU5SJyk7&amp;_ticker=FI1305US&amp;display_string=audit&amp;HEIGHT=800&amp;WIDTH=1200&amp;WINDOW=POPUP" xr:uid="{0D773CAD-65B6-BD4F-B339-57EC8C64AC26}"/>
    <hyperlink ref="L11" r:id="rId22" display="https://my.apps.factset.com/cpe-built-apps-server/fma-audit-report/index.html?_calendar=FIVEDAY&amp;_index=10&amp;_query=Rk1BX05ERUJUX0VCSVREQV9NSU5fQ0FQRVgoJ0xUTScsJzAnLCctMTAnLCdDWScsJ0xPQ0FMJywnUE9SVEFHRycsJ01FQU5SJyk7&amp;_ticker=FI1305US&amp;display_string=audit&amp;HEIGHT=800&amp;WIDTH=1200&amp;WINDOW=POPUP" xr:uid="{72EBC01D-AC59-0C4F-8781-3270479EDEDD}"/>
    <hyperlink ref="B12" r:id="rId23" display="https://my.apps.factset.com/cpe-built-apps-server/fma-audit-report/index.html?_calendar=FIVEDAY&amp;_index=0&amp;_query=Rk1BX0RFQlRfRUJJVERBKCdMVE0nLCcwJywnLTEwJywnQ1knLCdQT1JUQUdHJyk7&amp;_ticker=FI1305US&amp;display_string=audit&amp;HEIGHT=800&amp;WIDTH=1200&amp;WINDOW=POPUP" xr:uid="{13BCE965-678F-5347-8C99-95348757C1E1}"/>
    <hyperlink ref="C12" r:id="rId24" display="https://my.apps.factset.com/cpe-built-apps-server/fma-audit-report/index.html?_calendar=FIVEDAY&amp;_index=1&amp;_query=Rk1BX0RFQlRfRUJJVERBKCdMVE0nLCcwJywnLTEwJywnQ1knLCdQT1JUQUdHJyk7&amp;_ticker=FI1305US&amp;display_string=audit&amp;HEIGHT=800&amp;WIDTH=1200&amp;WINDOW=POPUP" xr:uid="{6F43E88C-9B39-B640-B5C8-30E4FFA0AA8D}"/>
    <hyperlink ref="D12" r:id="rId25" display="https://my.apps.factset.com/cpe-built-apps-server/fma-audit-report/index.html?_calendar=FIVEDAY&amp;_index=2&amp;_query=Rk1BX0RFQlRfRUJJVERBKCdMVE0nLCcwJywnLTEwJywnQ1knLCdQT1JUQUdHJyk7&amp;_ticker=FI1305US&amp;display_string=audit&amp;HEIGHT=800&amp;WIDTH=1200&amp;WINDOW=POPUP" xr:uid="{B898CF7A-036E-954E-B125-5F38ECCDDC6C}"/>
    <hyperlink ref="E12" r:id="rId26" display="https://my.apps.factset.com/cpe-built-apps-server/fma-audit-report/index.html?_calendar=FIVEDAY&amp;_index=3&amp;_query=Rk1BX0RFQlRfRUJJVERBKCdMVE0nLCcwJywnLTEwJywnQ1knLCdQT1JUQUdHJyk7&amp;_ticker=FI1305US&amp;display_string=audit&amp;HEIGHT=800&amp;WIDTH=1200&amp;WINDOW=POPUP" xr:uid="{DFDC2ACE-B555-9845-AA08-60BD68F70AE2}"/>
    <hyperlink ref="F12" r:id="rId27" display="https://my.apps.factset.com/cpe-built-apps-server/fma-audit-report/index.html?_calendar=FIVEDAY&amp;_index=4&amp;_query=Rk1BX0RFQlRfRUJJVERBKCdMVE0nLCcwJywnLTEwJywnQ1knLCdQT1JUQUdHJyk7&amp;_ticker=FI1305US&amp;display_string=audit&amp;HEIGHT=800&amp;WIDTH=1200&amp;WINDOW=POPUP" xr:uid="{C87146E8-EEDA-4147-8E4C-E7DEDF0DB268}"/>
    <hyperlink ref="G12" r:id="rId28" display="https://my.apps.factset.com/cpe-built-apps-server/fma-audit-report/index.html?_calendar=FIVEDAY&amp;_index=5&amp;_query=Rk1BX0RFQlRfRUJJVERBKCdMVE0nLCcwJywnLTEwJywnQ1knLCdQT1JUQUdHJyk7&amp;_ticker=FI1305US&amp;display_string=audit&amp;HEIGHT=800&amp;WIDTH=1200&amp;WINDOW=POPUP" xr:uid="{B38544AC-5A30-2448-AEA6-B05AD153D667}"/>
    <hyperlink ref="H12" r:id="rId29" display="https://my.apps.factset.com/cpe-built-apps-server/fma-audit-report/index.html?_calendar=FIVEDAY&amp;_index=6&amp;_query=Rk1BX0RFQlRfRUJJVERBKCdMVE0nLCcwJywnLTEwJywnQ1knLCdQT1JUQUdHJyk7&amp;_ticker=FI1305US&amp;display_string=audit&amp;HEIGHT=800&amp;WIDTH=1200&amp;WINDOW=POPUP" xr:uid="{AE26EBD2-D752-7047-BB68-2A4476F56A41}"/>
    <hyperlink ref="I12" r:id="rId30" display="https://my.apps.factset.com/cpe-built-apps-server/fma-audit-report/index.html?_calendar=FIVEDAY&amp;_index=7&amp;_query=Rk1BX0RFQlRfRUJJVERBKCdMVE0nLCcwJywnLTEwJywnQ1knLCdQT1JUQUdHJyk7&amp;_ticker=FI1305US&amp;display_string=audit&amp;HEIGHT=800&amp;WIDTH=1200&amp;WINDOW=POPUP" xr:uid="{B5CA0F05-FCE9-674E-831B-62FA75DF72F7}"/>
    <hyperlink ref="J12" r:id="rId31" display="https://my.apps.factset.com/cpe-built-apps-server/fma-audit-report/index.html?_calendar=FIVEDAY&amp;_index=8&amp;_query=Rk1BX0RFQlRfRUJJVERBKCdMVE0nLCcwJywnLTEwJywnQ1knLCdQT1JUQUdHJyk7&amp;_ticker=FI1305US&amp;display_string=audit&amp;HEIGHT=800&amp;WIDTH=1200&amp;WINDOW=POPUP" xr:uid="{DD867BFD-722B-874D-9E83-256C941592E5}"/>
    <hyperlink ref="K12" r:id="rId32" display="https://my.apps.factset.com/cpe-built-apps-server/fma-audit-report/index.html?_calendar=FIVEDAY&amp;_index=9&amp;_query=Rk1BX0RFQlRfRUJJVERBKCdMVE0nLCcwJywnLTEwJywnQ1knLCdQT1JUQUdHJyk7&amp;_ticker=FI1305US&amp;display_string=audit&amp;HEIGHT=800&amp;WIDTH=1200&amp;WINDOW=POPUP" xr:uid="{B5C7232A-C032-5E4E-8A09-3E1DE1F7CDEC}"/>
    <hyperlink ref="L12" r:id="rId33" display="https://my.apps.factset.com/cpe-built-apps-server/fma-audit-report/index.html?_calendar=FIVEDAY&amp;_index=10&amp;_query=Rk1BX0RFQlRfRUJJVERBKCdMVE0nLCcwJywnLTEwJywnQ1knLCdQT1JUQUdHJyk7&amp;_ticker=FI1305US&amp;display_string=audit&amp;HEIGHT=800&amp;WIDTH=1200&amp;WINDOW=POPUP" xr:uid="{FA7561F2-6A1F-CE40-A56E-58515C64E96F}"/>
    <hyperlink ref="B13" r:id="rId34" display="https://my.apps.factset.com/cpe-built-apps-server/fma-audit-report/index.html?_calendar=FIVEDAY&amp;_index=0&amp;_query=Rk1BX0RFQlRfRUJJVCgnTFRNJywnMCcsJy0xMCcsJ0NZJywnUE9SVEFHRycpOw==&amp;_ticker=FI1305US&amp;display_string=audit&amp;HEIGHT=800&amp;WIDTH=1200&amp;WINDOW=POPUP" xr:uid="{3081915F-D2D6-B145-8D96-11CEBF4657FE}"/>
    <hyperlink ref="C13" r:id="rId35" display="https://my.apps.factset.com/cpe-built-apps-server/fma-audit-report/index.html?_calendar=FIVEDAY&amp;_index=1&amp;_query=Rk1BX0RFQlRfRUJJVCgnTFRNJywnMCcsJy0xMCcsJ0NZJywnUE9SVEFHRycpOw==&amp;_ticker=FI1305US&amp;display_string=audit&amp;HEIGHT=800&amp;WIDTH=1200&amp;WINDOW=POPUP" xr:uid="{A2AEF362-58EC-D040-A493-C3788C170FCB}"/>
    <hyperlink ref="D13" r:id="rId36" display="https://my.apps.factset.com/cpe-built-apps-server/fma-audit-report/index.html?_calendar=FIVEDAY&amp;_index=2&amp;_query=Rk1BX0RFQlRfRUJJVCgnTFRNJywnMCcsJy0xMCcsJ0NZJywnUE9SVEFHRycpOw==&amp;_ticker=FI1305US&amp;display_string=audit&amp;HEIGHT=800&amp;WIDTH=1200&amp;WINDOW=POPUP" xr:uid="{ECAD18D8-45B6-DA43-8D2C-2D02D12A6C00}"/>
    <hyperlink ref="E13" r:id="rId37" display="https://my.apps.factset.com/cpe-built-apps-server/fma-audit-report/index.html?_calendar=FIVEDAY&amp;_index=3&amp;_query=Rk1BX0RFQlRfRUJJVCgnTFRNJywnMCcsJy0xMCcsJ0NZJywnUE9SVEFHRycpOw==&amp;_ticker=FI1305US&amp;display_string=audit&amp;HEIGHT=800&amp;WIDTH=1200&amp;WINDOW=POPUP" xr:uid="{466C5762-D1F2-014D-B6BB-FAD90BD4EB97}"/>
    <hyperlink ref="F13" r:id="rId38" display="https://my.apps.factset.com/cpe-built-apps-server/fma-audit-report/index.html?_calendar=FIVEDAY&amp;_index=4&amp;_query=Rk1BX0RFQlRfRUJJVCgnTFRNJywnMCcsJy0xMCcsJ0NZJywnUE9SVEFHRycpOw==&amp;_ticker=FI1305US&amp;display_string=audit&amp;HEIGHT=800&amp;WIDTH=1200&amp;WINDOW=POPUP" xr:uid="{C57B818B-D9BD-C545-96C1-4C043CAE511F}"/>
    <hyperlink ref="G13" r:id="rId39" display="https://my.apps.factset.com/cpe-built-apps-server/fma-audit-report/index.html?_calendar=FIVEDAY&amp;_index=5&amp;_query=Rk1BX0RFQlRfRUJJVCgnTFRNJywnMCcsJy0xMCcsJ0NZJywnUE9SVEFHRycpOw==&amp;_ticker=FI1305US&amp;display_string=audit&amp;HEIGHT=800&amp;WIDTH=1200&amp;WINDOW=POPUP" xr:uid="{2B412C18-8F9F-094C-A6CB-CD0617D9DDA2}"/>
    <hyperlink ref="H13" r:id="rId40" display="https://my.apps.factset.com/cpe-built-apps-server/fma-audit-report/index.html?_calendar=FIVEDAY&amp;_index=6&amp;_query=Rk1BX0RFQlRfRUJJVCgnTFRNJywnMCcsJy0xMCcsJ0NZJywnUE9SVEFHRycpOw==&amp;_ticker=FI1305US&amp;display_string=audit&amp;HEIGHT=800&amp;WIDTH=1200&amp;WINDOW=POPUP" xr:uid="{922CA1FC-7A55-BC40-9938-DE475288F1F2}"/>
    <hyperlink ref="I13" r:id="rId41" display="https://my.apps.factset.com/cpe-built-apps-server/fma-audit-report/index.html?_calendar=FIVEDAY&amp;_index=7&amp;_query=Rk1BX0RFQlRfRUJJVCgnTFRNJywnMCcsJy0xMCcsJ0NZJywnUE9SVEFHRycpOw==&amp;_ticker=FI1305US&amp;display_string=audit&amp;HEIGHT=800&amp;WIDTH=1200&amp;WINDOW=POPUP" xr:uid="{6E1F21B7-5CCC-2E4E-9F01-AB7A8F062145}"/>
    <hyperlink ref="J13" r:id="rId42" display="https://my.apps.factset.com/cpe-built-apps-server/fma-audit-report/index.html?_calendar=FIVEDAY&amp;_index=8&amp;_query=Rk1BX0RFQlRfRUJJVCgnTFRNJywnMCcsJy0xMCcsJ0NZJywnUE9SVEFHRycpOw==&amp;_ticker=FI1305US&amp;display_string=audit&amp;HEIGHT=800&amp;WIDTH=1200&amp;WINDOW=POPUP" xr:uid="{872A59BA-DB58-7048-9057-F672E2FEADDD}"/>
    <hyperlink ref="K13" r:id="rId43" display="https://my.apps.factset.com/cpe-built-apps-server/fma-audit-report/index.html?_calendar=FIVEDAY&amp;_index=9&amp;_query=Rk1BX0RFQlRfRUJJVCgnTFRNJywnMCcsJy0xMCcsJ0NZJywnUE9SVEFHRycpOw==&amp;_ticker=FI1305US&amp;display_string=audit&amp;HEIGHT=800&amp;WIDTH=1200&amp;WINDOW=POPUP" xr:uid="{9B4C4060-6882-CC45-B2D2-4FFF9E0BA252}"/>
    <hyperlink ref="L13" r:id="rId44" display="https://my.apps.factset.com/cpe-built-apps-server/fma-audit-report/index.html?_calendar=FIVEDAY&amp;_index=10&amp;_query=Rk1BX0RFQlRfRUJJVCgnTFRNJywnMCcsJy0xMCcsJ0NZJywnUE9SVEFHRycpOw==&amp;_ticker=FI1305US&amp;display_string=audit&amp;HEIGHT=800&amp;WIDTH=1200&amp;WINDOW=POPUP" xr:uid="{AA1A86E4-449D-114F-9412-BA0A66AE11B0}"/>
    <hyperlink ref="B14" r:id="rId45" display="https://my.apps.factset.com/cpe-built-apps-server/fma-audit-report/index.html?_calendar=FIVEDAY&amp;_index=0&amp;_query=Rk1BX0VCSVRfSU5UX0VYUCgnTFRNJywnMCcsJy0xMCcsJ0NZJywnUE9SVEFHRycpOw==&amp;_ticker=FI1305US&amp;display_string=audit&amp;HEIGHT=800&amp;WIDTH=1200&amp;WINDOW=POPUP" xr:uid="{1FDE30F3-FE41-274C-8AA5-9A335F20D5BD}"/>
    <hyperlink ref="C14" r:id="rId46" display="https://my.apps.factset.com/cpe-built-apps-server/fma-audit-report/index.html?_calendar=FIVEDAY&amp;_index=1&amp;_query=Rk1BX0VCSVRfSU5UX0VYUCgnTFRNJywnMCcsJy0xMCcsJ0NZJywnUE9SVEFHRycpOw==&amp;_ticker=FI1305US&amp;display_string=audit&amp;HEIGHT=800&amp;WIDTH=1200&amp;WINDOW=POPUP" xr:uid="{3F66B739-E0A3-FC42-A22A-90FB378D34B3}"/>
    <hyperlink ref="D14" r:id="rId47" display="https://my.apps.factset.com/cpe-built-apps-server/fma-audit-report/index.html?_calendar=FIVEDAY&amp;_index=2&amp;_query=Rk1BX0VCSVRfSU5UX0VYUCgnTFRNJywnMCcsJy0xMCcsJ0NZJywnUE9SVEFHRycpOw==&amp;_ticker=FI1305US&amp;display_string=audit&amp;HEIGHT=800&amp;WIDTH=1200&amp;WINDOW=POPUP" xr:uid="{A04A9431-5C94-BD43-9C84-D16213D16D2A}"/>
    <hyperlink ref="E14" r:id="rId48" display="https://my.apps.factset.com/cpe-built-apps-server/fma-audit-report/index.html?_calendar=FIVEDAY&amp;_index=3&amp;_query=Rk1BX0VCSVRfSU5UX0VYUCgnTFRNJywnMCcsJy0xMCcsJ0NZJywnUE9SVEFHRycpOw==&amp;_ticker=FI1305US&amp;display_string=audit&amp;HEIGHT=800&amp;WIDTH=1200&amp;WINDOW=POPUP" xr:uid="{77C33654-F581-FC46-92E6-BCA515B2125D}"/>
    <hyperlink ref="F14" r:id="rId49" display="https://my.apps.factset.com/cpe-built-apps-server/fma-audit-report/index.html?_calendar=FIVEDAY&amp;_index=4&amp;_query=Rk1BX0VCSVRfSU5UX0VYUCgnTFRNJywnMCcsJy0xMCcsJ0NZJywnUE9SVEFHRycpOw==&amp;_ticker=FI1305US&amp;display_string=audit&amp;HEIGHT=800&amp;WIDTH=1200&amp;WINDOW=POPUP" xr:uid="{94F60E05-B20C-9E43-9AAE-242BDCB25CFB}"/>
    <hyperlink ref="G14" r:id="rId50" display="https://my.apps.factset.com/cpe-built-apps-server/fma-audit-report/index.html?_calendar=FIVEDAY&amp;_index=5&amp;_query=Rk1BX0VCSVRfSU5UX0VYUCgnTFRNJywnMCcsJy0xMCcsJ0NZJywnUE9SVEFHRycpOw==&amp;_ticker=FI1305US&amp;display_string=audit&amp;HEIGHT=800&amp;WIDTH=1200&amp;WINDOW=POPUP" xr:uid="{04CDEA99-0403-0F4B-8A29-29AC7FFA6371}"/>
    <hyperlink ref="H14" r:id="rId51" display="https://my.apps.factset.com/cpe-built-apps-server/fma-audit-report/index.html?_calendar=FIVEDAY&amp;_index=6&amp;_query=Rk1BX0VCSVRfSU5UX0VYUCgnTFRNJywnMCcsJy0xMCcsJ0NZJywnUE9SVEFHRycpOw==&amp;_ticker=FI1305US&amp;display_string=audit&amp;HEIGHT=800&amp;WIDTH=1200&amp;WINDOW=POPUP" xr:uid="{E71CB654-6274-EC43-A8B8-89C7095B0446}"/>
    <hyperlink ref="I14" r:id="rId52" display="https://my.apps.factset.com/cpe-built-apps-server/fma-audit-report/index.html?_calendar=FIVEDAY&amp;_index=7&amp;_query=Rk1BX0VCSVRfSU5UX0VYUCgnTFRNJywnMCcsJy0xMCcsJ0NZJywnUE9SVEFHRycpOw==&amp;_ticker=FI1305US&amp;display_string=audit&amp;HEIGHT=800&amp;WIDTH=1200&amp;WINDOW=POPUP" xr:uid="{54CC8BC4-F3EA-9F4C-B6CE-18F77CC2FF36}"/>
    <hyperlink ref="J14" r:id="rId53" display="https://my.apps.factset.com/cpe-built-apps-server/fma-audit-report/index.html?_calendar=FIVEDAY&amp;_index=8&amp;_query=Rk1BX0VCSVRfSU5UX0VYUCgnTFRNJywnMCcsJy0xMCcsJ0NZJywnUE9SVEFHRycpOw==&amp;_ticker=FI1305US&amp;display_string=audit&amp;HEIGHT=800&amp;WIDTH=1200&amp;WINDOW=POPUP" xr:uid="{72D22E42-755B-8B44-BE51-B0F4D330F338}"/>
    <hyperlink ref="K14" r:id="rId54" display="https://my.apps.factset.com/cpe-built-apps-server/fma-audit-report/index.html?_calendar=FIVEDAY&amp;_index=9&amp;_query=Rk1BX0VCSVRfSU5UX0VYUCgnTFRNJywnMCcsJy0xMCcsJ0NZJywnUE9SVEFHRycpOw==&amp;_ticker=FI1305US&amp;display_string=audit&amp;HEIGHT=800&amp;WIDTH=1200&amp;WINDOW=POPUP" xr:uid="{4D596E9D-8625-B74F-817E-811F5F215AA6}"/>
    <hyperlink ref="L14" r:id="rId55" display="https://my.apps.factset.com/cpe-built-apps-server/fma-audit-report/index.html?_calendar=FIVEDAY&amp;_index=10&amp;_query=Rk1BX0VCSVRfSU5UX0VYUCgnTFRNJywnMCcsJy0xMCcsJ0NZJywnUE9SVEFHRycpOw==&amp;_ticker=FI1305US&amp;display_string=audit&amp;HEIGHT=800&amp;WIDTH=1200&amp;WINDOW=POPUP" xr:uid="{F29367B5-B456-C841-90E7-D5CC495D3FDC}"/>
    <hyperlink ref="B15" r:id="rId56" display="https://my.apps.factset.com/cpe-built-apps-server/fma-audit-report/index.html?_calendar=FIVEDAY&amp;_index=0&amp;_query=Rk1BX0VCSVREQV9JTlRfRVhQKCdMVE0nLCcwJywnLTEwJywnQ1knLCdQT1JUQUdHJyk7&amp;_ticker=FI1305US&amp;display_string=audit&amp;HEIGHT=800&amp;WIDTH=1200&amp;WINDOW=POPUP" xr:uid="{EBEE3837-1D9D-D048-9A86-327ED1174E68}"/>
    <hyperlink ref="C15" r:id="rId57" display="https://my.apps.factset.com/cpe-built-apps-server/fma-audit-report/index.html?_calendar=FIVEDAY&amp;_index=1&amp;_query=Rk1BX0VCSVREQV9JTlRfRVhQKCdMVE0nLCcwJywnLTEwJywnQ1knLCdQT1JUQUdHJyk7&amp;_ticker=FI1305US&amp;display_string=audit&amp;HEIGHT=800&amp;WIDTH=1200&amp;WINDOW=POPUP" xr:uid="{92752868-3BAE-AA48-B851-EE46E0BA98CB}"/>
    <hyperlink ref="D15" r:id="rId58" display="https://my.apps.factset.com/cpe-built-apps-server/fma-audit-report/index.html?_calendar=FIVEDAY&amp;_index=2&amp;_query=Rk1BX0VCSVREQV9JTlRfRVhQKCdMVE0nLCcwJywnLTEwJywnQ1knLCdQT1JUQUdHJyk7&amp;_ticker=FI1305US&amp;display_string=audit&amp;HEIGHT=800&amp;WIDTH=1200&amp;WINDOW=POPUP" xr:uid="{51BF4DB0-33D5-9347-9EAC-270EC6D1A5F0}"/>
    <hyperlink ref="E15" r:id="rId59" display="https://my.apps.factset.com/cpe-built-apps-server/fma-audit-report/index.html?_calendar=FIVEDAY&amp;_index=3&amp;_query=Rk1BX0VCSVREQV9JTlRfRVhQKCdMVE0nLCcwJywnLTEwJywnQ1knLCdQT1JUQUdHJyk7&amp;_ticker=FI1305US&amp;display_string=audit&amp;HEIGHT=800&amp;WIDTH=1200&amp;WINDOW=POPUP" xr:uid="{ED95D975-6256-4440-A336-D91656C0971B}"/>
    <hyperlink ref="F15" r:id="rId60" display="https://my.apps.factset.com/cpe-built-apps-server/fma-audit-report/index.html?_calendar=FIVEDAY&amp;_index=4&amp;_query=Rk1BX0VCSVREQV9JTlRfRVhQKCdMVE0nLCcwJywnLTEwJywnQ1knLCdQT1JUQUdHJyk7&amp;_ticker=FI1305US&amp;display_string=audit&amp;HEIGHT=800&amp;WIDTH=1200&amp;WINDOW=POPUP" xr:uid="{0C9CECB4-28EC-5643-95DC-E772533B3E3A}"/>
    <hyperlink ref="G15" r:id="rId61" display="https://my.apps.factset.com/cpe-built-apps-server/fma-audit-report/index.html?_calendar=FIVEDAY&amp;_index=5&amp;_query=Rk1BX0VCSVREQV9JTlRfRVhQKCdMVE0nLCcwJywnLTEwJywnQ1knLCdQT1JUQUdHJyk7&amp;_ticker=FI1305US&amp;display_string=audit&amp;HEIGHT=800&amp;WIDTH=1200&amp;WINDOW=POPUP" xr:uid="{2C96EA73-24F1-7142-B4D0-4343D284D57B}"/>
    <hyperlink ref="H15" r:id="rId62" display="https://my.apps.factset.com/cpe-built-apps-server/fma-audit-report/index.html?_calendar=FIVEDAY&amp;_index=6&amp;_query=Rk1BX0VCSVREQV9JTlRfRVhQKCdMVE0nLCcwJywnLTEwJywnQ1knLCdQT1JUQUdHJyk7&amp;_ticker=FI1305US&amp;display_string=audit&amp;HEIGHT=800&amp;WIDTH=1200&amp;WINDOW=POPUP" xr:uid="{44A10050-C07D-ED4D-890A-5D0F5AFBEE67}"/>
    <hyperlink ref="I15" r:id="rId63" display="https://my.apps.factset.com/cpe-built-apps-server/fma-audit-report/index.html?_calendar=FIVEDAY&amp;_index=7&amp;_query=Rk1BX0VCSVREQV9JTlRfRVhQKCdMVE0nLCcwJywnLTEwJywnQ1knLCdQT1JUQUdHJyk7&amp;_ticker=FI1305US&amp;display_string=audit&amp;HEIGHT=800&amp;WIDTH=1200&amp;WINDOW=POPUP" xr:uid="{A71FB640-ED18-D745-8E6B-1DDF6DD770C1}"/>
    <hyperlink ref="J15" r:id="rId64" display="https://my.apps.factset.com/cpe-built-apps-server/fma-audit-report/index.html?_calendar=FIVEDAY&amp;_index=8&amp;_query=Rk1BX0VCSVREQV9JTlRfRVhQKCdMVE0nLCcwJywnLTEwJywnQ1knLCdQT1JUQUdHJyk7&amp;_ticker=FI1305US&amp;display_string=audit&amp;HEIGHT=800&amp;WIDTH=1200&amp;WINDOW=POPUP" xr:uid="{F6D227A9-CDB5-1F49-8E73-53A9012BF34F}"/>
    <hyperlink ref="K15" r:id="rId65" display="https://my.apps.factset.com/cpe-built-apps-server/fma-audit-report/index.html?_calendar=FIVEDAY&amp;_index=9&amp;_query=Rk1BX0VCSVREQV9JTlRfRVhQKCdMVE0nLCcwJywnLTEwJywnQ1knLCdQT1JUQUdHJyk7&amp;_ticker=FI1305US&amp;display_string=audit&amp;HEIGHT=800&amp;WIDTH=1200&amp;WINDOW=POPUP" xr:uid="{8CBFDA4F-C9C0-1945-A9F1-9203BACE8A90}"/>
    <hyperlink ref="L15" r:id="rId66" display="https://my.apps.factset.com/cpe-built-apps-server/fma-audit-report/index.html?_calendar=FIVEDAY&amp;_index=10&amp;_query=Rk1BX0VCSVREQV9JTlRfRVhQKCdMVE0nLCcwJywnLTEwJywnQ1knLCdQT1JUQUdHJyk7&amp;_ticker=FI1305US&amp;display_string=audit&amp;HEIGHT=800&amp;WIDTH=1200&amp;WINDOW=POPUP" xr:uid="{C9C24631-13E4-4F4F-BD54-4E98A1AA9052}"/>
    <hyperlink ref="B16" r:id="rId67" display="https://my.apps.factset.com/cpe-built-apps-server/fma-audit-report/index.html?_calendar=FIVEDAY&amp;_index=0&amp;_query=Rk1BX09QRVJfQ0ZfSU5UX0VYUCgnTFRNJywnMCcsJy0xMCcsJ0NZJywnTE9DQUwnLCdQT1JUQUdHJywnTUVBTlInKTs=&amp;_ticker=FI1305US&amp;display_string=audit&amp;HEIGHT=800&amp;WIDTH=1200&amp;WINDOW=POPUP" xr:uid="{1528E338-FE3B-2140-BD4D-476DC0CA6B5F}"/>
    <hyperlink ref="C16" r:id="rId68" display="https://my.apps.factset.com/cpe-built-apps-server/fma-audit-report/index.html?_calendar=FIVEDAY&amp;_index=1&amp;_query=Rk1BX09QRVJfQ0ZfSU5UX0VYUCgnTFRNJywnMCcsJy0xMCcsJ0NZJywnTE9DQUwnLCdQT1JUQUdHJywnTUVBTlInKTs=&amp;_ticker=FI1305US&amp;display_string=audit&amp;HEIGHT=800&amp;WIDTH=1200&amp;WINDOW=POPUP" xr:uid="{37E63B77-8648-A543-BCD5-30B04490B42E}"/>
    <hyperlink ref="D16" r:id="rId69" display="https://my.apps.factset.com/cpe-built-apps-server/fma-audit-report/index.html?_calendar=FIVEDAY&amp;_index=2&amp;_query=Rk1BX09QRVJfQ0ZfSU5UX0VYUCgnTFRNJywnMCcsJy0xMCcsJ0NZJywnTE9DQUwnLCdQT1JUQUdHJywnTUVBTlInKTs=&amp;_ticker=FI1305US&amp;display_string=audit&amp;HEIGHT=800&amp;WIDTH=1200&amp;WINDOW=POPUP" xr:uid="{DDD82E6A-6661-7443-8522-D94C29961D19}"/>
    <hyperlink ref="E16" r:id="rId70" display="https://my.apps.factset.com/cpe-built-apps-server/fma-audit-report/index.html?_calendar=FIVEDAY&amp;_index=3&amp;_query=Rk1BX09QRVJfQ0ZfSU5UX0VYUCgnTFRNJywnMCcsJy0xMCcsJ0NZJywnTE9DQUwnLCdQT1JUQUdHJywnTUVBTlInKTs=&amp;_ticker=FI1305US&amp;display_string=audit&amp;HEIGHT=800&amp;WIDTH=1200&amp;WINDOW=POPUP" xr:uid="{D4C2878C-26D0-AE43-8B26-A6C4B4B32594}"/>
    <hyperlink ref="F16" r:id="rId71" display="https://my.apps.factset.com/cpe-built-apps-server/fma-audit-report/index.html?_calendar=FIVEDAY&amp;_index=4&amp;_query=Rk1BX09QRVJfQ0ZfSU5UX0VYUCgnTFRNJywnMCcsJy0xMCcsJ0NZJywnTE9DQUwnLCdQT1JUQUdHJywnTUVBTlInKTs=&amp;_ticker=FI1305US&amp;display_string=audit&amp;HEIGHT=800&amp;WIDTH=1200&amp;WINDOW=POPUP" xr:uid="{0FD73A9C-25EB-2C48-A14E-377C015806C4}"/>
    <hyperlink ref="G16" r:id="rId72" display="https://my.apps.factset.com/cpe-built-apps-server/fma-audit-report/index.html?_calendar=FIVEDAY&amp;_index=5&amp;_query=Rk1BX09QRVJfQ0ZfSU5UX0VYUCgnTFRNJywnMCcsJy0xMCcsJ0NZJywnTE9DQUwnLCdQT1JUQUdHJywnTUVBTlInKTs=&amp;_ticker=FI1305US&amp;display_string=audit&amp;HEIGHT=800&amp;WIDTH=1200&amp;WINDOW=POPUP" xr:uid="{375D3599-EB7D-364A-8E12-C2656529D397}"/>
    <hyperlink ref="H16" r:id="rId73" display="https://my.apps.factset.com/cpe-built-apps-server/fma-audit-report/index.html?_calendar=FIVEDAY&amp;_index=6&amp;_query=Rk1BX09QRVJfQ0ZfSU5UX0VYUCgnTFRNJywnMCcsJy0xMCcsJ0NZJywnTE9DQUwnLCdQT1JUQUdHJywnTUVBTlInKTs=&amp;_ticker=FI1305US&amp;display_string=audit&amp;HEIGHT=800&amp;WIDTH=1200&amp;WINDOW=POPUP" xr:uid="{C27496B5-6E1D-B641-9D70-B584F957D2C3}"/>
    <hyperlink ref="I16" r:id="rId74" display="https://my.apps.factset.com/cpe-built-apps-server/fma-audit-report/index.html?_calendar=FIVEDAY&amp;_index=7&amp;_query=Rk1BX09QRVJfQ0ZfSU5UX0VYUCgnTFRNJywnMCcsJy0xMCcsJ0NZJywnTE9DQUwnLCdQT1JUQUdHJywnTUVBTlInKTs=&amp;_ticker=FI1305US&amp;display_string=audit&amp;HEIGHT=800&amp;WIDTH=1200&amp;WINDOW=POPUP" xr:uid="{C44E300B-AE13-3C44-92DC-BE335AFB9E5D}"/>
    <hyperlink ref="J16" r:id="rId75" display="https://my.apps.factset.com/cpe-built-apps-server/fma-audit-report/index.html?_calendar=FIVEDAY&amp;_index=8&amp;_query=Rk1BX09QRVJfQ0ZfSU5UX0VYUCgnTFRNJywnMCcsJy0xMCcsJ0NZJywnTE9DQUwnLCdQT1JUQUdHJywnTUVBTlInKTs=&amp;_ticker=FI1305US&amp;display_string=audit&amp;HEIGHT=800&amp;WIDTH=1200&amp;WINDOW=POPUP" xr:uid="{61B6C170-8CEF-DB47-8A62-E246296957F0}"/>
    <hyperlink ref="K16" r:id="rId76" display="https://my.apps.factset.com/cpe-built-apps-server/fma-audit-report/index.html?_calendar=FIVEDAY&amp;_index=9&amp;_query=Rk1BX09QRVJfQ0ZfSU5UX0VYUCgnTFRNJywnMCcsJy0xMCcsJ0NZJywnTE9DQUwnLCdQT1JUQUdHJywnTUVBTlInKTs=&amp;_ticker=FI1305US&amp;display_string=audit&amp;HEIGHT=800&amp;WIDTH=1200&amp;WINDOW=POPUP" xr:uid="{3D932ECE-9EA2-5D40-B79E-BAC26B0D6E07}"/>
    <hyperlink ref="L16" r:id="rId77" display="https://my.apps.factset.com/cpe-built-apps-server/fma-audit-report/index.html?_calendar=FIVEDAY&amp;_index=10&amp;_query=Rk1BX09QRVJfQ0ZfSU5UX0VYUCgnTFRNJywnMCcsJy0xMCcsJ0NZJywnTE9DQUwnLCdQT1JUQUdHJywnTUVBTlInKTs=&amp;_ticker=FI1305US&amp;display_string=audit&amp;HEIGHT=800&amp;WIDTH=1200&amp;WINDOW=POPUP" xr:uid="{79ED8D18-8B02-604B-9AB6-209438DBB7CC}"/>
    <hyperlink ref="B17" r:id="rId78" display="https://my.apps.factset.com/cpe-built-apps-server/fma-audit-report/index.html?_calendar=FIVEDAY&amp;_index=0&amp;_query=Rk1BX0xURF9FQklUREEoJ0xUTScsJzAnLCctMTAnLCdDWScsJ0xPQ0FMJywnUE9SVEFHRycsJ01FQU5SJyk7&amp;_ticker=FI1305US&amp;display_string=audit&amp;HEIGHT=800&amp;WIDTH=1200&amp;WINDOW=POPUP" xr:uid="{15C54326-863B-E949-8C3A-AAF0E3E77B24}"/>
    <hyperlink ref="C17" r:id="rId79" display="https://my.apps.factset.com/cpe-built-apps-server/fma-audit-report/index.html?_calendar=FIVEDAY&amp;_index=1&amp;_query=Rk1BX0xURF9FQklUREEoJ0xUTScsJzAnLCctMTAnLCdDWScsJ0xPQ0FMJywnUE9SVEFHRycsJ01FQU5SJyk7&amp;_ticker=FI1305US&amp;display_string=audit&amp;HEIGHT=800&amp;WIDTH=1200&amp;WINDOW=POPUP" xr:uid="{74A5BB61-70F3-0A4E-AC70-A1396711E0A6}"/>
    <hyperlink ref="D17" r:id="rId80" display="https://my.apps.factset.com/cpe-built-apps-server/fma-audit-report/index.html?_calendar=FIVEDAY&amp;_index=2&amp;_query=Rk1BX0xURF9FQklUREEoJ0xUTScsJzAnLCctMTAnLCdDWScsJ0xPQ0FMJywnUE9SVEFHRycsJ01FQU5SJyk7&amp;_ticker=FI1305US&amp;display_string=audit&amp;HEIGHT=800&amp;WIDTH=1200&amp;WINDOW=POPUP" xr:uid="{D44734DA-8728-4645-BBF2-98EEC9B7722C}"/>
    <hyperlink ref="E17" r:id="rId81" display="https://my.apps.factset.com/cpe-built-apps-server/fma-audit-report/index.html?_calendar=FIVEDAY&amp;_index=3&amp;_query=Rk1BX0xURF9FQklUREEoJ0xUTScsJzAnLCctMTAnLCdDWScsJ0xPQ0FMJywnUE9SVEFHRycsJ01FQU5SJyk7&amp;_ticker=FI1305US&amp;display_string=audit&amp;HEIGHT=800&amp;WIDTH=1200&amp;WINDOW=POPUP" xr:uid="{6ECEB8A7-4740-7749-A592-DB074FAE74BE}"/>
    <hyperlink ref="F17" r:id="rId82" display="https://my.apps.factset.com/cpe-built-apps-server/fma-audit-report/index.html?_calendar=FIVEDAY&amp;_index=4&amp;_query=Rk1BX0xURF9FQklUREEoJ0xUTScsJzAnLCctMTAnLCdDWScsJ0xPQ0FMJywnUE9SVEFHRycsJ01FQU5SJyk7&amp;_ticker=FI1305US&amp;display_string=audit&amp;HEIGHT=800&amp;WIDTH=1200&amp;WINDOW=POPUP" xr:uid="{B461DC4C-65EB-5747-ABA8-1B97B2AB3BE7}"/>
    <hyperlink ref="G17" r:id="rId83" display="https://my.apps.factset.com/cpe-built-apps-server/fma-audit-report/index.html?_calendar=FIVEDAY&amp;_index=5&amp;_query=Rk1BX0xURF9FQklUREEoJ0xUTScsJzAnLCctMTAnLCdDWScsJ0xPQ0FMJywnUE9SVEFHRycsJ01FQU5SJyk7&amp;_ticker=FI1305US&amp;display_string=audit&amp;HEIGHT=800&amp;WIDTH=1200&amp;WINDOW=POPUP" xr:uid="{D5E5FD72-B0F2-704D-B800-68A7B1A0F625}"/>
    <hyperlink ref="H17" r:id="rId84" display="https://my.apps.factset.com/cpe-built-apps-server/fma-audit-report/index.html?_calendar=FIVEDAY&amp;_index=6&amp;_query=Rk1BX0xURF9FQklUREEoJ0xUTScsJzAnLCctMTAnLCdDWScsJ0xPQ0FMJywnUE9SVEFHRycsJ01FQU5SJyk7&amp;_ticker=FI1305US&amp;display_string=audit&amp;HEIGHT=800&amp;WIDTH=1200&amp;WINDOW=POPUP" xr:uid="{47114B71-258C-4A4E-BF11-3D0540261558}"/>
    <hyperlink ref="I17" r:id="rId85" display="https://my.apps.factset.com/cpe-built-apps-server/fma-audit-report/index.html?_calendar=FIVEDAY&amp;_index=7&amp;_query=Rk1BX0xURF9FQklUREEoJ0xUTScsJzAnLCctMTAnLCdDWScsJ0xPQ0FMJywnUE9SVEFHRycsJ01FQU5SJyk7&amp;_ticker=FI1305US&amp;display_string=audit&amp;HEIGHT=800&amp;WIDTH=1200&amp;WINDOW=POPUP" xr:uid="{13E75BC9-AB2D-524A-85C9-3F05C1E7100D}"/>
    <hyperlink ref="J17" r:id="rId86" display="https://my.apps.factset.com/cpe-built-apps-server/fma-audit-report/index.html?_calendar=FIVEDAY&amp;_index=8&amp;_query=Rk1BX0xURF9FQklUREEoJ0xUTScsJzAnLCctMTAnLCdDWScsJ0xPQ0FMJywnUE9SVEFHRycsJ01FQU5SJyk7&amp;_ticker=FI1305US&amp;display_string=audit&amp;HEIGHT=800&amp;WIDTH=1200&amp;WINDOW=POPUP" xr:uid="{9F220E39-F08C-804B-B5DE-315B10BA9C5C}"/>
    <hyperlink ref="K17" r:id="rId87" display="https://my.apps.factset.com/cpe-built-apps-server/fma-audit-report/index.html?_calendar=FIVEDAY&amp;_index=9&amp;_query=Rk1BX0xURF9FQklUREEoJ0xUTScsJzAnLCctMTAnLCdDWScsJ0xPQ0FMJywnUE9SVEFHRycsJ01FQU5SJyk7&amp;_ticker=FI1305US&amp;display_string=audit&amp;HEIGHT=800&amp;WIDTH=1200&amp;WINDOW=POPUP" xr:uid="{742B3719-E8FD-4847-ADCA-518656E71B5E}"/>
    <hyperlink ref="L17" r:id="rId88" display="https://my.apps.factset.com/cpe-built-apps-server/fma-audit-report/index.html?_calendar=FIVEDAY&amp;_index=10&amp;_query=Rk1BX0xURF9FQklUREEoJ0xUTScsJzAnLCctMTAnLCdDWScsJ0xPQ0FMJywnUE9SVEFHRycsJ01FQU5SJyk7&amp;_ticker=FI1305US&amp;display_string=audit&amp;HEIGHT=800&amp;WIDTH=1200&amp;WINDOW=POPUP" xr:uid="{E955CC97-E58E-8444-BDDC-BC091252D7A3}"/>
    <hyperlink ref="B18" r:id="rId89" display="https://my.apps.factset.com/cpe-built-apps-server/fma-audit-report/index.html?_calendar=FIVEDAY&amp;_index=0&amp;_query=Rk1BX05ERUJUX0ZGTygnTFRNJywnMCcsJy0xMCcsJ0NZJywnTE9DQUwnLCdQT1JUQUdHJywnTUVBTlInKTs=&amp;_ticker=FI1305US&amp;display_string=audit&amp;HEIGHT=800&amp;WIDTH=1200&amp;WINDOW=POPUP" xr:uid="{150AB2F0-B27E-1342-98A8-144400088009}"/>
    <hyperlink ref="C18" r:id="rId90" display="https://my.apps.factset.com/cpe-built-apps-server/fma-audit-report/index.html?_calendar=FIVEDAY&amp;_index=1&amp;_query=Rk1BX05ERUJUX0ZGTygnTFRNJywnMCcsJy0xMCcsJ0NZJywnTE9DQUwnLCdQT1JUQUdHJywnTUVBTlInKTs=&amp;_ticker=FI1305US&amp;display_string=audit&amp;HEIGHT=800&amp;WIDTH=1200&amp;WINDOW=POPUP" xr:uid="{9469FF05-8AFE-F046-88D1-F36C9CB9BA34}"/>
    <hyperlink ref="D18" r:id="rId91" display="https://my.apps.factset.com/cpe-built-apps-server/fma-audit-report/index.html?_calendar=FIVEDAY&amp;_index=2&amp;_query=Rk1BX05ERUJUX0ZGTygnTFRNJywnMCcsJy0xMCcsJ0NZJywnTE9DQUwnLCdQT1JUQUdHJywnTUVBTlInKTs=&amp;_ticker=FI1305US&amp;display_string=audit&amp;HEIGHT=800&amp;WIDTH=1200&amp;WINDOW=POPUP" xr:uid="{125A24A5-F6A8-6645-8FC1-0A184AE30D29}"/>
    <hyperlink ref="E18" r:id="rId92" display="https://my.apps.factset.com/cpe-built-apps-server/fma-audit-report/index.html?_calendar=FIVEDAY&amp;_index=3&amp;_query=Rk1BX05ERUJUX0ZGTygnTFRNJywnMCcsJy0xMCcsJ0NZJywnTE9DQUwnLCdQT1JUQUdHJywnTUVBTlInKTs=&amp;_ticker=FI1305US&amp;display_string=audit&amp;HEIGHT=800&amp;WIDTH=1200&amp;WINDOW=POPUP" xr:uid="{CABB361B-F3D1-9B4B-9B32-5A92D1A59F23}"/>
    <hyperlink ref="F18" r:id="rId93" display="https://my.apps.factset.com/cpe-built-apps-server/fma-audit-report/index.html?_calendar=FIVEDAY&amp;_index=4&amp;_query=Rk1BX05ERUJUX0ZGTygnTFRNJywnMCcsJy0xMCcsJ0NZJywnTE9DQUwnLCdQT1JUQUdHJywnTUVBTlInKTs=&amp;_ticker=FI1305US&amp;display_string=audit&amp;HEIGHT=800&amp;WIDTH=1200&amp;WINDOW=POPUP" xr:uid="{1D438C42-1876-EB4D-9F62-F222DC84D038}"/>
    <hyperlink ref="G18" r:id="rId94" display="https://my.apps.factset.com/cpe-built-apps-server/fma-audit-report/index.html?_calendar=FIVEDAY&amp;_index=5&amp;_query=Rk1BX05ERUJUX0ZGTygnTFRNJywnMCcsJy0xMCcsJ0NZJywnTE9DQUwnLCdQT1JUQUdHJywnTUVBTlInKTs=&amp;_ticker=FI1305US&amp;display_string=audit&amp;HEIGHT=800&amp;WIDTH=1200&amp;WINDOW=POPUP" xr:uid="{D697908C-F0E4-2442-B26B-549739F72488}"/>
    <hyperlink ref="H18" r:id="rId95" display="https://my.apps.factset.com/cpe-built-apps-server/fma-audit-report/index.html?_calendar=FIVEDAY&amp;_index=6&amp;_query=Rk1BX05ERUJUX0ZGTygnTFRNJywnMCcsJy0xMCcsJ0NZJywnTE9DQUwnLCdQT1JUQUdHJywnTUVBTlInKTs=&amp;_ticker=FI1305US&amp;display_string=audit&amp;HEIGHT=800&amp;WIDTH=1200&amp;WINDOW=POPUP" xr:uid="{C484E037-4BC4-FD4F-A146-EF3F4D01414C}"/>
    <hyperlink ref="I18" r:id="rId96" display="https://my.apps.factset.com/cpe-built-apps-server/fma-audit-report/index.html?_calendar=FIVEDAY&amp;_index=7&amp;_query=Rk1BX05ERUJUX0ZGTygnTFRNJywnMCcsJy0xMCcsJ0NZJywnTE9DQUwnLCdQT1JUQUdHJywnTUVBTlInKTs=&amp;_ticker=FI1305US&amp;display_string=audit&amp;HEIGHT=800&amp;WIDTH=1200&amp;WINDOW=POPUP" xr:uid="{33B6D63B-ADAA-D340-9FD3-873BE123F641}"/>
    <hyperlink ref="J18" r:id="rId97" display="https://my.apps.factset.com/cpe-built-apps-server/fma-audit-report/index.html?_calendar=FIVEDAY&amp;_index=8&amp;_query=Rk1BX05ERUJUX0ZGTygnTFRNJywnMCcsJy0xMCcsJ0NZJywnTE9DQUwnLCdQT1JUQUdHJywnTUVBTlInKTs=&amp;_ticker=FI1305US&amp;display_string=audit&amp;HEIGHT=800&amp;WIDTH=1200&amp;WINDOW=POPUP" xr:uid="{FFDFC923-8FA4-554D-8B9D-E47C96803C5B}"/>
    <hyperlink ref="K18" r:id="rId98" display="https://my.apps.factset.com/cpe-built-apps-server/fma-audit-report/index.html?_calendar=FIVEDAY&amp;_index=9&amp;_query=Rk1BX05ERUJUX0ZGTygnTFRNJywnMCcsJy0xMCcsJ0NZJywnTE9DQUwnLCdQT1JUQUdHJywnTUVBTlInKTs=&amp;_ticker=FI1305US&amp;display_string=audit&amp;HEIGHT=800&amp;WIDTH=1200&amp;WINDOW=POPUP" xr:uid="{FCC0AA6F-4D68-7644-AECC-0CEF15174768}"/>
    <hyperlink ref="L18" r:id="rId99" display="https://my.apps.factset.com/cpe-built-apps-server/fma-audit-report/index.html?_calendar=FIVEDAY&amp;_index=10&amp;_query=Rk1BX05ERUJUX0ZGTygnTFRNJywnMCcsJy0xMCcsJ0NZJywnTE9DQUwnLCdQT1JUQUdHJywnTUVBTlInKTs=&amp;_ticker=FI1305US&amp;display_string=audit&amp;HEIGHT=800&amp;WIDTH=1200&amp;WINDOW=POPUP" xr:uid="{0C4257C5-B8E6-E141-92B6-2FE5C9C41956}"/>
    <hyperlink ref="B19" r:id="rId100" display="https://my.apps.factset.com/cpe-built-apps-server/fma-audit-report/index.html?_calendar=FIVEDAY&amp;_index=0&amp;_query=Rk1BX0xURF9GRk8oJ0xUTScsJzAnLCctMTAnLCdDWScsJ0xPQ0FMJywnUE9SVEFHRycsJ01FQU5SJyk7&amp;_ticker=FI1305US&amp;display_string=audit&amp;HEIGHT=800&amp;WIDTH=1200&amp;WINDOW=POPUP" xr:uid="{4DDFBF0A-C76A-5448-B7CE-B79BE774D9B2}"/>
    <hyperlink ref="C19" r:id="rId101" display="https://my.apps.factset.com/cpe-built-apps-server/fma-audit-report/index.html?_calendar=FIVEDAY&amp;_index=1&amp;_query=Rk1BX0xURF9GRk8oJ0xUTScsJzAnLCctMTAnLCdDWScsJ0xPQ0FMJywnUE9SVEFHRycsJ01FQU5SJyk7&amp;_ticker=FI1305US&amp;display_string=audit&amp;HEIGHT=800&amp;WIDTH=1200&amp;WINDOW=POPUP" xr:uid="{8B1CE607-5D9D-1E4A-BB89-00D7B53C7069}"/>
    <hyperlink ref="D19" r:id="rId102" display="https://my.apps.factset.com/cpe-built-apps-server/fma-audit-report/index.html?_calendar=FIVEDAY&amp;_index=2&amp;_query=Rk1BX0xURF9GRk8oJ0xUTScsJzAnLCctMTAnLCdDWScsJ0xPQ0FMJywnUE9SVEFHRycsJ01FQU5SJyk7&amp;_ticker=FI1305US&amp;display_string=audit&amp;HEIGHT=800&amp;WIDTH=1200&amp;WINDOW=POPUP" xr:uid="{0883B3F7-A201-624F-BDA8-51C34D3B9E79}"/>
    <hyperlink ref="E19" r:id="rId103" display="https://my.apps.factset.com/cpe-built-apps-server/fma-audit-report/index.html?_calendar=FIVEDAY&amp;_index=3&amp;_query=Rk1BX0xURF9GRk8oJ0xUTScsJzAnLCctMTAnLCdDWScsJ0xPQ0FMJywnUE9SVEFHRycsJ01FQU5SJyk7&amp;_ticker=FI1305US&amp;display_string=audit&amp;HEIGHT=800&amp;WIDTH=1200&amp;WINDOW=POPUP" xr:uid="{2D2A1C19-C99B-EA4E-BE67-220CBAF734DB}"/>
    <hyperlink ref="F19" r:id="rId104" display="https://my.apps.factset.com/cpe-built-apps-server/fma-audit-report/index.html?_calendar=FIVEDAY&amp;_index=4&amp;_query=Rk1BX0xURF9GRk8oJ0xUTScsJzAnLCctMTAnLCdDWScsJ0xPQ0FMJywnUE9SVEFHRycsJ01FQU5SJyk7&amp;_ticker=FI1305US&amp;display_string=audit&amp;HEIGHT=800&amp;WIDTH=1200&amp;WINDOW=POPUP" xr:uid="{EC8F720C-48A4-274A-8A15-41321F1E228B}"/>
    <hyperlink ref="G19" r:id="rId105" display="https://my.apps.factset.com/cpe-built-apps-server/fma-audit-report/index.html?_calendar=FIVEDAY&amp;_index=5&amp;_query=Rk1BX0xURF9GRk8oJ0xUTScsJzAnLCctMTAnLCdDWScsJ0xPQ0FMJywnUE9SVEFHRycsJ01FQU5SJyk7&amp;_ticker=FI1305US&amp;display_string=audit&amp;HEIGHT=800&amp;WIDTH=1200&amp;WINDOW=POPUP" xr:uid="{0C729CD7-2004-D642-92BF-63E8F06487CE}"/>
    <hyperlink ref="H19" r:id="rId106" display="https://my.apps.factset.com/cpe-built-apps-server/fma-audit-report/index.html?_calendar=FIVEDAY&amp;_index=6&amp;_query=Rk1BX0xURF9GRk8oJ0xUTScsJzAnLCctMTAnLCdDWScsJ0xPQ0FMJywnUE9SVEFHRycsJ01FQU5SJyk7&amp;_ticker=FI1305US&amp;display_string=audit&amp;HEIGHT=800&amp;WIDTH=1200&amp;WINDOW=POPUP" xr:uid="{BBF0CE65-B577-E14E-A1D4-6061C91BECDE}"/>
    <hyperlink ref="I19" r:id="rId107" display="https://my.apps.factset.com/cpe-built-apps-server/fma-audit-report/index.html?_calendar=FIVEDAY&amp;_index=7&amp;_query=Rk1BX0xURF9GRk8oJ0xUTScsJzAnLCctMTAnLCdDWScsJ0xPQ0FMJywnUE9SVEFHRycsJ01FQU5SJyk7&amp;_ticker=FI1305US&amp;display_string=audit&amp;HEIGHT=800&amp;WIDTH=1200&amp;WINDOW=POPUP" xr:uid="{50BEAA41-CFC8-844D-801F-46C958E15D02}"/>
    <hyperlink ref="J19" r:id="rId108" display="https://my.apps.factset.com/cpe-built-apps-server/fma-audit-report/index.html?_calendar=FIVEDAY&amp;_index=8&amp;_query=Rk1BX0xURF9GRk8oJ0xUTScsJzAnLCctMTAnLCdDWScsJ0xPQ0FMJywnUE9SVEFHRycsJ01FQU5SJyk7&amp;_ticker=FI1305US&amp;display_string=audit&amp;HEIGHT=800&amp;WIDTH=1200&amp;WINDOW=POPUP" xr:uid="{363D8F81-39A9-E442-8A6A-6A1AB71C2538}"/>
    <hyperlink ref="K19" r:id="rId109" display="https://my.apps.factset.com/cpe-built-apps-server/fma-audit-report/index.html?_calendar=FIVEDAY&amp;_index=9&amp;_query=Rk1BX0xURF9GRk8oJ0xUTScsJzAnLCctMTAnLCdDWScsJ0xPQ0FMJywnUE9SVEFHRycsJ01FQU5SJyk7&amp;_ticker=FI1305US&amp;display_string=audit&amp;HEIGHT=800&amp;WIDTH=1200&amp;WINDOW=POPUP" xr:uid="{3B71533C-AB58-4A42-A96D-C3B3C445F378}"/>
    <hyperlink ref="L19" r:id="rId110" display="https://my.apps.factset.com/cpe-built-apps-server/fma-audit-report/index.html?_calendar=FIVEDAY&amp;_index=10&amp;_query=Rk1BX0xURF9GRk8oJ0xUTScsJzAnLCctMTAnLCdDWScsJ0xPQ0FMJywnUE9SVEFHRycsJ01FQU5SJyk7&amp;_ticker=FI1305US&amp;display_string=audit&amp;HEIGHT=800&amp;WIDTH=1200&amp;WINDOW=POPUP" xr:uid="{03EF5D58-98CC-5349-979E-9A8541CAD9E1}"/>
    <hyperlink ref="B20" r:id="rId111" display="https://my.apps.factset.com/cpe-built-apps-server/fma-audit-report/index.html?_calendar=FIVEDAY&amp;_index=0&amp;_query=Rk1BX0ZDRl9ERUJUKCdMVE0nLCcwJywnLTEwJywnQ1knLCdQT1JUQUdHJyk7&amp;_ticker=FI1305US&amp;display_string=audit&amp;HEIGHT=800&amp;WIDTH=1200&amp;WINDOW=POPUP" xr:uid="{354CD9CF-B691-4640-AF2E-80712827BBE4}"/>
    <hyperlink ref="C20" r:id="rId112" display="https://my.apps.factset.com/cpe-built-apps-server/fma-audit-report/index.html?_calendar=FIVEDAY&amp;_index=1&amp;_query=Rk1BX0ZDRl9ERUJUKCdMVE0nLCcwJywnLTEwJywnQ1knLCdQT1JUQUdHJyk7&amp;_ticker=FI1305US&amp;display_string=audit&amp;HEIGHT=800&amp;WIDTH=1200&amp;WINDOW=POPUP" xr:uid="{7EA1BB14-1798-6144-8BE4-E7FB27B5456B}"/>
    <hyperlink ref="D20" r:id="rId113" display="https://my.apps.factset.com/cpe-built-apps-server/fma-audit-report/index.html?_calendar=FIVEDAY&amp;_index=2&amp;_query=Rk1BX0ZDRl9ERUJUKCdMVE0nLCcwJywnLTEwJywnQ1knLCdQT1JUQUdHJyk7&amp;_ticker=FI1305US&amp;display_string=audit&amp;HEIGHT=800&amp;WIDTH=1200&amp;WINDOW=POPUP" xr:uid="{05F0880D-98A6-1941-B67C-F1ECF71C733C}"/>
    <hyperlink ref="E20" r:id="rId114" display="https://my.apps.factset.com/cpe-built-apps-server/fma-audit-report/index.html?_calendar=FIVEDAY&amp;_index=3&amp;_query=Rk1BX0ZDRl9ERUJUKCdMVE0nLCcwJywnLTEwJywnQ1knLCdQT1JUQUdHJyk7&amp;_ticker=FI1305US&amp;display_string=audit&amp;HEIGHT=800&amp;WIDTH=1200&amp;WINDOW=POPUP" xr:uid="{C14A2F98-641E-0940-BEB0-DF1BE1EAEFF1}"/>
    <hyperlink ref="F20" r:id="rId115" display="https://my.apps.factset.com/cpe-built-apps-server/fma-audit-report/index.html?_calendar=FIVEDAY&amp;_index=4&amp;_query=Rk1BX0ZDRl9ERUJUKCdMVE0nLCcwJywnLTEwJywnQ1knLCdQT1JUQUdHJyk7&amp;_ticker=FI1305US&amp;display_string=audit&amp;HEIGHT=800&amp;WIDTH=1200&amp;WINDOW=POPUP" xr:uid="{620203F6-7CEB-1545-AD7E-715A38C124A1}"/>
    <hyperlink ref="G20" r:id="rId116" display="https://my.apps.factset.com/cpe-built-apps-server/fma-audit-report/index.html?_calendar=FIVEDAY&amp;_index=5&amp;_query=Rk1BX0ZDRl9ERUJUKCdMVE0nLCcwJywnLTEwJywnQ1knLCdQT1JUQUdHJyk7&amp;_ticker=FI1305US&amp;display_string=audit&amp;HEIGHT=800&amp;WIDTH=1200&amp;WINDOW=POPUP" xr:uid="{216B23E7-4094-8A43-9210-6068FCDA1317}"/>
    <hyperlink ref="H20" r:id="rId117" display="https://my.apps.factset.com/cpe-built-apps-server/fma-audit-report/index.html?_calendar=FIVEDAY&amp;_index=6&amp;_query=Rk1BX0ZDRl9ERUJUKCdMVE0nLCcwJywnLTEwJywnQ1knLCdQT1JUQUdHJyk7&amp;_ticker=FI1305US&amp;display_string=audit&amp;HEIGHT=800&amp;WIDTH=1200&amp;WINDOW=POPUP" xr:uid="{B60BAEE1-F33A-634D-AD1B-1599493B6705}"/>
    <hyperlink ref="I20" r:id="rId118" display="https://my.apps.factset.com/cpe-built-apps-server/fma-audit-report/index.html?_calendar=FIVEDAY&amp;_index=7&amp;_query=Rk1BX0ZDRl9ERUJUKCdMVE0nLCcwJywnLTEwJywnQ1knLCdQT1JUQUdHJyk7&amp;_ticker=FI1305US&amp;display_string=audit&amp;HEIGHT=800&amp;WIDTH=1200&amp;WINDOW=POPUP" xr:uid="{11FE8030-09A9-DC42-BD62-CE966DE5AD5A}"/>
    <hyperlink ref="J20" r:id="rId119" display="https://my.apps.factset.com/cpe-built-apps-server/fma-audit-report/index.html?_calendar=FIVEDAY&amp;_index=8&amp;_query=Rk1BX0ZDRl9ERUJUKCdMVE0nLCcwJywnLTEwJywnQ1knLCdQT1JUQUdHJyk7&amp;_ticker=FI1305US&amp;display_string=audit&amp;HEIGHT=800&amp;WIDTH=1200&amp;WINDOW=POPUP" xr:uid="{A0264674-1D3E-F745-978E-40FC4CD56BD8}"/>
    <hyperlink ref="K20" r:id="rId120" display="https://my.apps.factset.com/cpe-built-apps-server/fma-audit-report/index.html?_calendar=FIVEDAY&amp;_index=9&amp;_query=Rk1BX0ZDRl9ERUJUKCdMVE0nLCcwJywnLTEwJywnQ1knLCdQT1JUQUdHJyk7&amp;_ticker=FI1305US&amp;display_string=audit&amp;HEIGHT=800&amp;WIDTH=1200&amp;WINDOW=POPUP" xr:uid="{25801029-D24E-EF4B-B0B7-676449B0A2EB}"/>
    <hyperlink ref="L20" r:id="rId121" display="https://my.apps.factset.com/cpe-built-apps-server/fma-audit-report/index.html?_calendar=FIVEDAY&amp;_index=10&amp;_query=Rk1BX0ZDRl9ERUJUKCdMVE0nLCcwJywnLTEwJywnQ1knLCdQT1JUQUdHJyk7&amp;_ticker=FI1305US&amp;display_string=audit&amp;HEIGHT=800&amp;WIDTH=1200&amp;WINDOW=POPUP" xr:uid="{AD8481DD-4A80-2F40-ADA4-CEE2D59BBD0E}"/>
    <hyperlink ref="B21" r:id="rId122" display="https://my.apps.factset.com/cpe-built-apps-server/fma-audit-report/index.html?_calendar=FIVEDAY&amp;_index=0&amp;_query=Rk1BX09QRVJfQ0ZfREVCVCgnTFRNJywnMCcsJy0xMCcsJ0NZJywnTE9DQUwnLCdQT1JUQUdHJywnTUVBTlInKTs=&amp;_ticker=FI1305US&amp;display_string=audit&amp;HEIGHT=800&amp;WIDTH=1200&amp;WINDOW=POPUP" xr:uid="{E78A23E9-5152-F148-95EF-29F145C9BF3C}"/>
    <hyperlink ref="C21" r:id="rId123" display="https://my.apps.factset.com/cpe-built-apps-server/fma-audit-report/index.html?_calendar=FIVEDAY&amp;_index=1&amp;_query=Rk1BX09QRVJfQ0ZfREVCVCgnTFRNJywnMCcsJy0xMCcsJ0NZJywnTE9DQUwnLCdQT1JUQUdHJywnTUVBTlInKTs=&amp;_ticker=FI1305US&amp;display_string=audit&amp;HEIGHT=800&amp;WIDTH=1200&amp;WINDOW=POPUP" xr:uid="{A400DC5B-9DF3-D04F-BAD4-FC035CA376C3}"/>
    <hyperlink ref="D21" r:id="rId124" display="https://my.apps.factset.com/cpe-built-apps-server/fma-audit-report/index.html?_calendar=FIVEDAY&amp;_index=2&amp;_query=Rk1BX09QRVJfQ0ZfREVCVCgnTFRNJywnMCcsJy0xMCcsJ0NZJywnTE9DQUwnLCdQT1JUQUdHJywnTUVBTlInKTs=&amp;_ticker=FI1305US&amp;display_string=audit&amp;HEIGHT=800&amp;WIDTH=1200&amp;WINDOW=POPUP" xr:uid="{3CE43F6D-0453-4843-B7CA-8708FCDEE323}"/>
    <hyperlink ref="E21" r:id="rId125" display="https://my.apps.factset.com/cpe-built-apps-server/fma-audit-report/index.html?_calendar=FIVEDAY&amp;_index=3&amp;_query=Rk1BX09QRVJfQ0ZfREVCVCgnTFRNJywnMCcsJy0xMCcsJ0NZJywnTE9DQUwnLCdQT1JUQUdHJywnTUVBTlInKTs=&amp;_ticker=FI1305US&amp;display_string=audit&amp;HEIGHT=800&amp;WIDTH=1200&amp;WINDOW=POPUP" xr:uid="{6B14FFDC-FD72-7042-AC64-5192D4F4CE1D}"/>
    <hyperlink ref="F21" r:id="rId126" display="https://my.apps.factset.com/cpe-built-apps-server/fma-audit-report/index.html?_calendar=FIVEDAY&amp;_index=4&amp;_query=Rk1BX09QRVJfQ0ZfREVCVCgnTFRNJywnMCcsJy0xMCcsJ0NZJywnTE9DQUwnLCdQT1JUQUdHJywnTUVBTlInKTs=&amp;_ticker=FI1305US&amp;display_string=audit&amp;HEIGHT=800&amp;WIDTH=1200&amp;WINDOW=POPUP" xr:uid="{99E52123-3473-B546-92B2-2901654FCA3F}"/>
    <hyperlink ref="G21" r:id="rId127" display="https://my.apps.factset.com/cpe-built-apps-server/fma-audit-report/index.html?_calendar=FIVEDAY&amp;_index=5&amp;_query=Rk1BX09QRVJfQ0ZfREVCVCgnTFRNJywnMCcsJy0xMCcsJ0NZJywnTE9DQUwnLCdQT1JUQUdHJywnTUVBTlInKTs=&amp;_ticker=FI1305US&amp;display_string=audit&amp;HEIGHT=800&amp;WIDTH=1200&amp;WINDOW=POPUP" xr:uid="{03ADE411-3D83-6646-82CA-B98EFF86F55D}"/>
    <hyperlink ref="H21" r:id="rId128" display="https://my.apps.factset.com/cpe-built-apps-server/fma-audit-report/index.html?_calendar=FIVEDAY&amp;_index=6&amp;_query=Rk1BX09QRVJfQ0ZfREVCVCgnTFRNJywnMCcsJy0xMCcsJ0NZJywnTE9DQUwnLCdQT1JUQUdHJywnTUVBTlInKTs=&amp;_ticker=FI1305US&amp;display_string=audit&amp;HEIGHT=800&amp;WIDTH=1200&amp;WINDOW=POPUP" xr:uid="{EC19E494-2B96-FA4A-86E0-F5EC0D5521E2}"/>
    <hyperlink ref="I21" r:id="rId129" display="https://my.apps.factset.com/cpe-built-apps-server/fma-audit-report/index.html?_calendar=FIVEDAY&amp;_index=7&amp;_query=Rk1BX09QRVJfQ0ZfREVCVCgnTFRNJywnMCcsJy0xMCcsJ0NZJywnTE9DQUwnLCdQT1JUQUdHJywnTUVBTlInKTs=&amp;_ticker=FI1305US&amp;display_string=audit&amp;HEIGHT=800&amp;WIDTH=1200&amp;WINDOW=POPUP" xr:uid="{F11C28A4-DB6B-A34C-86EB-03D4DEF41A00}"/>
    <hyperlink ref="J21" r:id="rId130" display="https://my.apps.factset.com/cpe-built-apps-server/fma-audit-report/index.html?_calendar=FIVEDAY&amp;_index=8&amp;_query=Rk1BX09QRVJfQ0ZfREVCVCgnTFRNJywnMCcsJy0xMCcsJ0NZJywnTE9DQUwnLCdQT1JUQUdHJywnTUVBTlInKTs=&amp;_ticker=FI1305US&amp;display_string=audit&amp;HEIGHT=800&amp;WIDTH=1200&amp;WINDOW=POPUP" xr:uid="{4560BC75-5D35-224F-99BB-16C80B55D18F}"/>
    <hyperlink ref="K21" r:id="rId131" display="https://my.apps.factset.com/cpe-built-apps-server/fma-audit-report/index.html?_calendar=FIVEDAY&amp;_index=9&amp;_query=Rk1BX09QRVJfQ0ZfREVCVCgnTFRNJywnMCcsJy0xMCcsJ0NZJywnTE9DQUwnLCdQT1JUQUdHJywnTUVBTlInKTs=&amp;_ticker=FI1305US&amp;display_string=audit&amp;HEIGHT=800&amp;WIDTH=1200&amp;WINDOW=POPUP" xr:uid="{6F5FA837-ABFB-EE4A-9965-55EB7CF288D9}"/>
    <hyperlink ref="L21" r:id="rId132" display="https://my.apps.factset.com/cpe-built-apps-server/fma-audit-report/index.html?_calendar=FIVEDAY&amp;_index=10&amp;_query=Rk1BX09QRVJfQ0ZfREVCVCgnTFRNJywnMCcsJy0xMCcsJ0NZJywnTE9DQUwnLCdQT1JUQUdHJywnTUVBTlInKTs=&amp;_ticker=FI1305US&amp;display_string=audit&amp;HEIGHT=800&amp;WIDTH=1200&amp;WINDOW=POPUP" xr:uid="{6D1984AA-6069-2D41-BCCB-6D4CBBCA22A6}"/>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4DEB1-8244-4040-A93F-A2BAFF37651B}">
  <sheetPr>
    <outlinePr summaryBelow="0" summaryRight="0"/>
  </sheetPr>
  <dimension ref="A1:L20"/>
  <sheetViews>
    <sheetView workbookViewId="0">
      <selection activeCell="L13" sqref="L13"/>
    </sheetView>
  </sheetViews>
  <sheetFormatPr defaultColWidth="9.125" defaultRowHeight="14.95" customHeight="1" x14ac:dyDescent="0.2"/>
  <cols>
    <col min="1" max="1" width="33.875" customWidth="1"/>
    <col min="2" max="12" width="8" customWidth="1"/>
  </cols>
  <sheetData>
    <row r="1" spans="1:12" ht="14.95" customHeight="1" x14ac:dyDescent="0.25">
      <c r="A1" s="33" t="s">
        <v>231</v>
      </c>
    </row>
    <row r="2" spans="1:12" ht="14.95" customHeight="1" x14ac:dyDescent="0.2">
      <c r="A2" t="s">
        <v>230</v>
      </c>
    </row>
    <row r="3" spans="1:12" ht="14.95" customHeight="1" x14ac:dyDescent="0.2">
      <c r="A3" s="35" t="s">
        <v>229</v>
      </c>
    </row>
    <row r="4" spans="1:12" ht="14.95" customHeight="1" x14ac:dyDescent="0.2">
      <c r="A4" s="34"/>
      <c r="B4" s="34"/>
      <c r="C4" s="34"/>
      <c r="D4" s="34"/>
      <c r="E4" s="34"/>
      <c r="F4" s="34"/>
      <c r="G4" s="34"/>
      <c r="H4" s="34"/>
      <c r="I4" s="34"/>
      <c r="J4" s="34"/>
      <c r="K4" s="34"/>
      <c r="L4" s="34"/>
    </row>
    <row r="6" spans="1:12" ht="14.95" customHeight="1" x14ac:dyDescent="0.25">
      <c r="A6" s="1" t="s">
        <v>228</v>
      </c>
      <c r="B6" s="1"/>
      <c r="C6" s="1"/>
      <c r="D6" s="1"/>
      <c r="E6" s="1"/>
      <c r="F6" s="1"/>
      <c r="G6" s="1"/>
      <c r="H6" s="1"/>
      <c r="I6" s="1"/>
      <c r="J6" s="1"/>
      <c r="K6" s="1"/>
      <c r="L6" s="1"/>
    </row>
    <row r="7" spans="1:12" ht="14.95" customHeight="1" x14ac:dyDescent="0.25">
      <c r="A7" s="1" t="s">
        <v>227</v>
      </c>
      <c r="B7" s="1"/>
      <c r="C7" s="1"/>
      <c r="D7" s="1"/>
      <c r="E7" s="1"/>
      <c r="F7" s="1"/>
      <c r="G7" s="1"/>
      <c r="H7" s="1"/>
      <c r="I7" s="1"/>
      <c r="J7" s="1"/>
      <c r="K7" s="1"/>
      <c r="L7" s="1"/>
    </row>
    <row r="8" spans="1:12" ht="14.95" customHeight="1" x14ac:dyDescent="0.25">
      <c r="A8" s="1" t="s">
        <v>226</v>
      </c>
      <c r="B8" s="1"/>
      <c r="C8" s="1"/>
      <c r="D8" s="1"/>
      <c r="E8" s="1"/>
      <c r="F8" s="1"/>
      <c r="G8" s="1"/>
      <c r="H8" s="1"/>
      <c r="I8" s="1"/>
      <c r="J8" s="1"/>
      <c r="K8" s="1"/>
      <c r="L8" s="1"/>
    </row>
    <row r="9" spans="1:12" ht="14.95" customHeight="1" x14ac:dyDescent="0.25">
      <c r="A9" s="1"/>
      <c r="B9" s="1" t="s">
        <v>225</v>
      </c>
      <c r="C9" s="1" t="s">
        <v>224</v>
      </c>
      <c r="D9" s="1" t="s">
        <v>223</v>
      </c>
      <c r="E9" s="1" t="s">
        <v>222</v>
      </c>
      <c r="F9" s="1" t="s">
        <v>221</v>
      </c>
      <c r="G9" s="1" t="s">
        <v>220</v>
      </c>
      <c r="H9" s="1" t="s">
        <v>219</v>
      </c>
      <c r="I9" s="1" t="s">
        <v>218</v>
      </c>
      <c r="J9" s="1" t="s">
        <v>217</v>
      </c>
      <c r="K9" s="1" t="s">
        <v>216</v>
      </c>
      <c r="L9" s="1" t="s">
        <v>215</v>
      </c>
    </row>
    <row r="10" spans="1:12" ht="14.95" customHeight="1" x14ac:dyDescent="0.2">
      <c r="A10" s="25" t="s">
        <v>253</v>
      </c>
      <c r="B10" s="39">
        <v>52.598650999999997</v>
      </c>
      <c r="C10" s="39">
        <v>19.779416999999999</v>
      </c>
      <c r="D10" s="39">
        <v>35.452573000000001</v>
      </c>
      <c r="E10" s="39">
        <v>32.169885999999998</v>
      </c>
      <c r="F10" s="39">
        <v>24.22964</v>
      </c>
      <c r="G10" s="39">
        <v>12.237729</v>
      </c>
      <c r="H10" s="39">
        <v>23.572327000000001</v>
      </c>
      <c r="I10" s="39">
        <v>31.293807999999999</v>
      </c>
      <c r="J10" s="39">
        <v>20.002960999999999</v>
      </c>
      <c r="K10" s="39">
        <v>21.271649</v>
      </c>
      <c r="L10" s="39">
        <v>21.786014999999999</v>
      </c>
    </row>
    <row r="11" spans="1:12" ht="14.95" customHeight="1" x14ac:dyDescent="0.2">
      <c r="A11" s="23" t="s">
        <v>252</v>
      </c>
      <c r="B11" s="41">
        <v>43.569352000000002</v>
      </c>
      <c r="C11" s="41">
        <v>18.824196000000001</v>
      </c>
      <c r="D11" s="41">
        <v>31.827072999999999</v>
      </c>
      <c r="E11" s="41">
        <v>30.049690999999999</v>
      </c>
      <c r="F11" s="41">
        <v>23.069236</v>
      </c>
      <c r="G11" s="41">
        <v>12.009734</v>
      </c>
      <c r="H11" s="41">
        <v>22.039238999999998</v>
      </c>
      <c r="I11" s="41">
        <v>21.661256999999999</v>
      </c>
      <c r="J11" s="41">
        <v>17.190626999999999</v>
      </c>
      <c r="K11" s="41">
        <v>19.456496999999999</v>
      </c>
      <c r="L11" s="41">
        <v>18.906960999999999</v>
      </c>
    </row>
    <row r="12" spans="1:12" ht="14.95" customHeight="1" x14ac:dyDescent="0.2">
      <c r="A12" s="25" t="s">
        <v>251</v>
      </c>
      <c r="B12" s="39">
        <v>9.0408779999999993</v>
      </c>
      <c r="C12" s="39">
        <v>4.2915910000000004</v>
      </c>
      <c r="D12" s="39">
        <v>8.3264189999999996</v>
      </c>
      <c r="E12" s="39">
        <v>6.4587700000000003</v>
      </c>
      <c r="F12" s="39">
        <v>5.0019520000000002</v>
      </c>
      <c r="G12" s="39">
        <v>3.385478</v>
      </c>
      <c r="H12" s="39">
        <v>4.4114079999999998</v>
      </c>
      <c r="I12" s="39">
        <v>3.8296489999999999</v>
      </c>
      <c r="J12" s="39">
        <v>2.9742150000000001</v>
      </c>
      <c r="K12" s="39">
        <v>3.0790690000000001</v>
      </c>
      <c r="L12" s="39">
        <v>2.6416840000000001</v>
      </c>
    </row>
    <row r="13" spans="1:12" ht="14.95" customHeight="1" x14ac:dyDescent="0.2">
      <c r="A13" s="23" t="s">
        <v>250</v>
      </c>
      <c r="B13" s="41">
        <v>7.1561399999999997</v>
      </c>
      <c r="C13" s="41">
        <v>3.928023</v>
      </c>
      <c r="D13" s="41">
        <v>7.2764309999999996</v>
      </c>
      <c r="E13" s="41">
        <v>6.1654369999999998</v>
      </c>
      <c r="F13" s="41">
        <v>4.6549519999999998</v>
      </c>
      <c r="G13" s="41">
        <v>3.3815400000000002</v>
      </c>
      <c r="H13" s="41">
        <v>4.3311310000000001</v>
      </c>
      <c r="I13" s="41">
        <v>3.660917</v>
      </c>
      <c r="J13" s="41">
        <v>3.222216</v>
      </c>
      <c r="K13" s="41">
        <v>3.700164</v>
      </c>
      <c r="L13" s="41">
        <v>2.8509319999999998</v>
      </c>
    </row>
    <row r="14" spans="1:12" ht="14.95" customHeight="1" x14ac:dyDescent="0.2">
      <c r="A14" s="25" t="s">
        <v>249</v>
      </c>
      <c r="B14" s="39">
        <v>31.321459999999998</v>
      </c>
      <c r="C14" s="39">
        <v>15.900733000000001</v>
      </c>
      <c r="D14" s="39">
        <v>22.782093</v>
      </c>
      <c r="E14" s="39">
        <v>17.588380999999998</v>
      </c>
      <c r="F14" s="39">
        <v>13.058161999999999</v>
      </c>
      <c r="G14" s="39">
        <v>8.6810939999999999</v>
      </c>
      <c r="H14" s="39">
        <v>13.915108999999999</v>
      </c>
      <c r="I14" s="39">
        <v>14.24878</v>
      </c>
      <c r="J14" s="39">
        <v>11.325704</v>
      </c>
      <c r="K14" s="39">
        <v>11.482161</v>
      </c>
      <c r="L14" s="39">
        <v>9.9298970000000004</v>
      </c>
    </row>
    <row r="15" spans="1:12" ht="14.95" customHeight="1" x14ac:dyDescent="0.2">
      <c r="A15" s="23" t="s">
        <v>248</v>
      </c>
      <c r="B15" s="41">
        <v>30.751064</v>
      </c>
      <c r="C15" s="41">
        <v>15.446959</v>
      </c>
      <c r="D15" s="41">
        <v>22.564909</v>
      </c>
      <c r="E15" s="41">
        <v>17.512297</v>
      </c>
      <c r="F15" s="41">
        <v>13.036611000000001</v>
      </c>
      <c r="G15" s="41">
        <v>8.6810939999999999</v>
      </c>
      <c r="H15" s="41">
        <v>13.683453</v>
      </c>
      <c r="I15" s="41">
        <v>13.683192999999999</v>
      </c>
      <c r="J15" s="41">
        <v>10.663012999999999</v>
      </c>
      <c r="K15" s="41">
        <v>10.888916999999999</v>
      </c>
      <c r="L15" s="41">
        <v>9.6281289999999995</v>
      </c>
    </row>
    <row r="16" spans="1:12" ht="14.95" customHeight="1" x14ac:dyDescent="0.2">
      <c r="A16" s="25" t="s">
        <v>247</v>
      </c>
      <c r="B16" s="39">
        <v>68.307430999999994</v>
      </c>
      <c r="C16" s="39">
        <v>36.137829000000004</v>
      </c>
      <c r="D16" s="39">
        <v>34.461995000000002</v>
      </c>
      <c r="E16" s="39">
        <v>26.771768999999999</v>
      </c>
      <c r="F16" s="39">
        <v>21.367039999999999</v>
      </c>
      <c r="G16" s="39">
        <v>13.659794</v>
      </c>
      <c r="H16" s="39">
        <v>21.698359</v>
      </c>
      <c r="I16" s="39">
        <v>25.273976000000001</v>
      </c>
      <c r="J16" s="39">
        <v>20.188675</v>
      </c>
      <c r="K16" s="39">
        <v>20.450406999999998</v>
      </c>
      <c r="L16" s="39">
        <v>16.764776000000001</v>
      </c>
    </row>
    <row r="17" spans="1:12" ht="14.95" customHeight="1" x14ac:dyDescent="0.2">
      <c r="A17" s="23" t="s">
        <v>246</v>
      </c>
      <c r="B17" s="41">
        <v>46.856008000000003</v>
      </c>
      <c r="C17" s="41">
        <v>18.352170999999998</v>
      </c>
      <c r="D17" s="41">
        <v>32.931082000000004</v>
      </c>
      <c r="E17" s="41">
        <v>30.085039999999999</v>
      </c>
      <c r="F17" s="41">
        <v>21.890445</v>
      </c>
      <c r="G17" s="41">
        <v>12.049450999999999</v>
      </c>
      <c r="H17" s="41">
        <v>20.413824000000002</v>
      </c>
      <c r="I17" s="41">
        <v>23.738938000000001</v>
      </c>
      <c r="J17" s="41">
        <v>15.264608000000001</v>
      </c>
      <c r="K17" s="41">
        <v>15.833316</v>
      </c>
      <c r="L17" s="41">
        <v>16.36572</v>
      </c>
    </row>
    <row r="18" spans="1:12" ht="14.95" customHeight="1" x14ac:dyDescent="0.2">
      <c r="A18" s="25" t="s">
        <v>245</v>
      </c>
      <c r="B18" s="39">
        <v>28.927887999999999</v>
      </c>
      <c r="C18" s="39">
        <v>12.404082000000001</v>
      </c>
      <c r="D18" s="39">
        <v>21.737942</v>
      </c>
      <c r="E18" s="39">
        <v>17.762181999999999</v>
      </c>
      <c r="F18" s="39">
        <v>13.500302</v>
      </c>
      <c r="G18" s="39">
        <v>8.5765980000000006</v>
      </c>
      <c r="H18" s="39">
        <v>12.855365000000001</v>
      </c>
      <c r="I18" s="39">
        <v>13.292237999999999</v>
      </c>
      <c r="J18" s="39">
        <v>9.5823090000000004</v>
      </c>
      <c r="K18" s="39">
        <v>10.28528</v>
      </c>
      <c r="L18" s="39">
        <v>9.534402</v>
      </c>
    </row>
    <row r="19" spans="1:12" ht="14.95" customHeight="1" x14ac:dyDescent="0.2">
      <c r="A19" s="23" t="s">
        <v>244</v>
      </c>
      <c r="B19" s="41">
        <v>9.2564530000000005</v>
      </c>
      <c r="C19" s="41">
        <v>4.4897580000000001</v>
      </c>
      <c r="D19" s="41">
        <v>8.4666350000000001</v>
      </c>
      <c r="E19" s="41">
        <v>6.7435010000000002</v>
      </c>
      <c r="F19" s="41">
        <v>5.2741449999999999</v>
      </c>
      <c r="G19" s="41">
        <v>3.5785040000000001</v>
      </c>
      <c r="H19" s="41">
        <v>4.6168610000000001</v>
      </c>
      <c r="I19" s="41">
        <v>4.0523610000000003</v>
      </c>
      <c r="J19" s="41">
        <v>3.0399959999999999</v>
      </c>
      <c r="K19" s="41">
        <v>3.0985819999999999</v>
      </c>
      <c r="L19" s="41">
        <v>2.5507369999999998</v>
      </c>
    </row>
    <row r="20" spans="1:12" ht="14.95" customHeight="1" x14ac:dyDescent="0.2">
      <c r="A20" s="32"/>
    </row>
  </sheetData>
  <hyperlinks>
    <hyperlink ref="B10" r:id="rId1" display="https://my.apps.factset.com/cpe-built-apps-server/fma-audit-report/index.html?_calendar=FIVEDAY&amp;_index=0&amp;_query=Rk1BX1BFKCdMVE0nLCcwJywnLTEwJywnQ1knLCdQT1JUQUdHJywnTUVBTlInKTs=&amp;_ticker=FI1305US&amp;display_string=audit&amp;HEIGHT=800&amp;WIDTH=1200&amp;WINDOW=POPUP" xr:uid="{EDFA70D2-0439-5841-B34D-1F989C865B12}"/>
    <hyperlink ref="C10" r:id="rId2" display="https://my.apps.factset.com/cpe-built-apps-server/fma-audit-report/index.html?_calendar=FIVEDAY&amp;_index=1&amp;_query=Rk1BX1BFKCdMVE0nLCcwJywnLTEwJywnQ1knLCdQT1JUQUdHJywnTUVBTlInKTs=&amp;_ticker=FI1305US&amp;display_string=audit&amp;HEIGHT=800&amp;WIDTH=1200&amp;WINDOW=POPUP" xr:uid="{65BEBDA8-2847-BE47-BA5D-11DE9FC83329}"/>
    <hyperlink ref="D10" r:id="rId3" display="https://my.apps.factset.com/cpe-built-apps-server/fma-audit-report/index.html?_calendar=FIVEDAY&amp;_index=2&amp;_query=Rk1BX1BFKCdMVE0nLCcwJywnLTEwJywnQ1knLCdQT1JUQUdHJywnTUVBTlInKTs=&amp;_ticker=FI1305US&amp;display_string=audit&amp;HEIGHT=800&amp;WIDTH=1200&amp;WINDOW=POPUP" xr:uid="{C5CF26D4-3D65-1243-A10D-A0121061E94B}"/>
    <hyperlink ref="E10" r:id="rId4" display="https://my.apps.factset.com/cpe-built-apps-server/fma-audit-report/index.html?_calendar=FIVEDAY&amp;_index=3&amp;_query=Rk1BX1BFKCdMVE0nLCcwJywnLTEwJywnQ1knLCdQT1JUQUdHJywnTUVBTlInKTs=&amp;_ticker=FI1305US&amp;display_string=audit&amp;HEIGHT=800&amp;WIDTH=1200&amp;WINDOW=POPUP" xr:uid="{077879AE-A817-824C-B438-81B00254617E}"/>
    <hyperlink ref="F10" r:id="rId5" display="https://my.apps.factset.com/cpe-built-apps-server/fma-audit-report/index.html?_calendar=FIVEDAY&amp;_index=4&amp;_query=Rk1BX1BFKCdMVE0nLCcwJywnLTEwJywnQ1knLCdQT1JUQUdHJywnTUVBTlInKTs=&amp;_ticker=FI1305US&amp;display_string=audit&amp;HEIGHT=800&amp;WIDTH=1200&amp;WINDOW=POPUP" xr:uid="{03557CE7-476A-E146-8B46-045A7F99FF78}"/>
    <hyperlink ref="G10" r:id="rId6" display="https://my.apps.factset.com/cpe-built-apps-server/fma-audit-report/index.html?_calendar=FIVEDAY&amp;_index=5&amp;_query=Rk1BX1BFKCdMVE0nLCcwJywnLTEwJywnQ1knLCdQT1JUQUdHJywnTUVBTlInKTs=&amp;_ticker=FI1305US&amp;display_string=audit&amp;HEIGHT=800&amp;WIDTH=1200&amp;WINDOW=POPUP" xr:uid="{EFB55235-28AA-0E4D-92AA-7A65341868AA}"/>
    <hyperlink ref="H10" r:id="rId7" display="https://my.apps.factset.com/cpe-built-apps-server/fma-audit-report/index.html?_calendar=FIVEDAY&amp;_index=6&amp;_query=Rk1BX1BFKCdMVE0nLCcwJywnLTEwJywnQ1knLCdQT1JUQUdHJywnTUVBTlInKTs=&amp;_ticker=FI1305US&amp;display_string=audit&amp;HEIGHT=800&amp;WIDTH=1200&amp;WINDOW=POPUP" xr:uid="{A2A6D301-8163-0646-91A1-84CFBD29D8C4}"/>
    <hyperlink ref="I10" r:id="rId8" display="https://my.apps.factset.com/cpe-built-apps-server/fma-audit-report/index.html?_calendar=FIVEDAY&amp;_index=7&amp;_query=Rk1BX1BFKCdMVE0nLCcwJywnLTEwJywnQ1knLCdQT1JUQUdHJywnTUVBTlInKTs=&amp;_ticker=FI1305US&amp;display_string=audit&amp;HEIGHT=800&amp;WIDTH=1200&amp;WINDOW=POPUP" xr:uid="{31FF38A0-E8A9-E440-8A0D-1F89EB1775CD}"/>
    <hyperlink ref="J10" r:id="rId9" display="https://my.apps.factset.com/cpe-built-apps-server/fma-audit-report/index.html?_calendar=FIVEDAY&amp;_index=8&amp;_query=Rk1BX1BFKCdMVE0nLCcwJywnLTEwJywnQ1knLCdQT1JUQUdHJywnTUVBTlInKTs=&amp;_ticker=FI1305US&amp;display_string=audit&amp;HEIGHT=800&amp;WIDTH=1200&amp;WINDOW=POPUP" xr:uid="{821B5C79-032C-4B40-A2FE-713562608CBB}"/>
    <hyperlink ref="K10" r:id="rId10" display="https://my.apps.factset.com/cpe-built-apps-server/fma-audit-report/index.html?_calendar=FIVEDAY&amp;_index=9&amp;_query=Rk1BX1BFKCdMVE0nLCcwJywnLTEwJywnQ1knLCdQT1JUQUdHJywnTUVBTlInKTs=&amp;_ticker=FI1305US&amp;display_string=audit&amp;HEIGHT=800&amp;WIDTH=1200&amp;WINDOW=POPUP" xr:uid="{A558920D-DA51-904A-B22C-63B4205B1D27}"/>
    <hyperlink ref="L10" r:id="rId11" display="https://my.apps.factset.com/cpe-built-apps-server/fma-audit-report/index.html?_calendar=FIVEDAY&amp;_index=10&amp;_query=Rk1BX1BFKCdMVE0nLCcwJywnLTEwJywnQ1knLCdQT1JUQUdHJywnTUVBTlInKTs=&amp;_ticker=FI1305US&amp;display_string=audit&amp;HEIGHT=800&amp;WIDTH=1200&amp;WINDOW=POPUP" xr:uid="{958C8ECB-99A9-814D-B390-883C19C78E8D}"/>
    <hyperlink ref="B11" r:id="rId12" display="https://my.apps.factset.com/cpe-built-apps-server/fma-audit-report/index.html?_calendar=FIVEDAY&amp;_index=0&amp;_query=Rk1BX1BFWCgnTFRNJywnMCcsJy0xMCcsJ0NZJywnUE9SVEFHRycpOw==&amp;_ticker=FI1305US&amp;display_string=audit&amp;HEIGHT=800&amp;WIDTH=1200&amp;WINDOW=POPUP" xr:uid="{ACDD42AA-A70F-A344-B89C-093A2B55A739}"/>
    <hyperlink ref="C11" r:id="rId13" display="https://my.apps.factset.com/cpe-built-apps-server/fma-audit-report/index.html?_calendar=FIVEDAY&amp;_index=1&amp;_query=Rk1BX1BFWCgnTFRNJywnMCcsJy0xMCcsJ0NZJywnUE9SVEFHRycpOw==&amp;_ticker=FI1305US&amp;display_string=audit&amp;HEIGHT=800&amp;WIDTH=1200&amp;WINDOW=POPUP" xr:uid="{DCC8C98D-D1C1-A847-A986-F950CF4D701E}"/>
    <hyperlink ref="D11" r:id="rId14" display="https://my.apps.factset.com/cpe-built-apps-server/fma-audit-report/index.html?_calendar=FIVEDAY&amp;_index=2&amp;_query=Rk1BX1BFWCgnTFRNJywnMCcsJy0xMCcsJ0NZJywnUE9SVEFHRycpOw==&amp;_ticker=FI1305US&amp;display_string=audit&amp;HEIGHT=800&amp;WIDTH=1200&amp;WINDOW=POPUP" xr:uid="{120E77F6-A0EF-2F4F-AD21-5F8D859BC300}"/>
    <hyperlink ref="E11" r:id="rId15" display="https://my.apps.factset.com/cpe-built-apps-server/fma-audit-report/index.html?_calendar=FIVEDAY&amp;_index=3&amp;_query=Rk1BX1BFWCgnTFRNJywnMCcsJy0xMCcsJ0NZJywnUE9SVEFHRycpOw==&amp;_ticker=FI1305US&amp;display_string=audit&amp;HEIGHT=800&amp;WIDTH=1200&amp;WINDOW=POPUP" xr:uid="{6AC518DE-A1C8-4A43-AF6A-11D4A8CA9163}"/>
    <hyperlink ref="F11" r:id="rId16" display="https://my.apps.factset.com/cpe-built-apps-server/fma-audit-report/index.html?_calendar=FIVEDAY&amp;_index=4&amp;_query=Rk1BX1BFWCgnTFRNJywnMCcsJy0xMCcsJ0NZJywnUE9SVEFHRycpOw==&amp;_ticker=FI1305US&amp;display_string=audit&amp;HEIGHT=800&amp;WIDTH=1200&amp;WINDOW=POPUP" xr:uid="{64A45F58-87B6-A749-8A3B-ADE4F4E0B6D8}"/>
    <hyperlink ref="G11" r:id="rId17" display="https://my.apps.factset.com/cpe-built-apps-server/fma-audit-report/index.html?_calendar=FIVEDAY&amp;_index=5&amp;_query=Rk1BX1BFWCgnTFRNJywnMCcsJy0xMCcsJ0NZJywnUE9SVEFHRycpOw==&amp;_ticker=FI1305US&amp;display_string=audit&amp;HEIGHT=800&amp;WIDTH=1200&amp;WINDOW=POPUP" xr:uid="{9AD7D6B3-01E8-A141-9F0F-EECC7D9BBF89}"/>
    <hyperlink ref="H11" r:id="rId18" display="https://my.apps.factset.com/cpe-built-apps-server/fma-audit-report/index.html?_calendar=FIVEDAY&amp;_index=6&amp;_query=Rk1BX1BFWCgnTFRNJywnMCcsJy0xMCcsJ0NZJywnUE9SVEFHRycpOw==&amp;_ticker=FI1305US&amp;display_string=audit&amp;HEIGHT=800&amp;WIDTH=1200&amp;WINDOW=POPUP" xr:uid="{C96015D5-9A48-4A47-BED6-9A317E78D8F8}"/>
    <hyperlink ref="I11" r:id="rId19" display="https://my.apps.factset.com/cpe-built-apps-server/fma-audit-report/index.html?_calendar=FIVEDAY&amp;_index=7&amp;_query=Rk1BX1BFWCgnTFRNJywnMCcsJy0xMCcsJ0NZJywnUE9SVEFHRycpOw==&amp;_ticker=FI1305US&amp;display_string=audit&amp;HEIGHT=800&amp;WIDTH=1200&amp;WINDOW=POPUP" xr:uid="{287C70E2-613C-B648-B4F9-F8DCA00E88F9}"/>
    <hyperlink ref="J11" r:id="rId20" display="https://my.apps.factset.com/cpe-built-apps-server/fma-audit-report/index.html?_calendar=FIVEDAY&amp;_index=8&amp;_query=Rk1BX1BFWCgnTFRNJywnMCcsJy0xMCcsJ0NZJywnUE9SVEFHRycpOw==&amp;_ticker=FI1305US&amp;display_string=audit&amp;HEIGHT=800&amp;WIDTH=1200&amp;WINDOW=POPUP" xr:uid="{73F9257D-774A-5B4B-BA95-29B6BC129C50}"/>
    <hyperlink ref="K11" r:id="rId21" display="https://my.apps.factset.com/cpe-built-apps-server/fma-audit-report/index.html?_calendar=FIVEDAY&amp;_index=9&amp;_query=Rk1BX1BFWCgnTFRNJywnMCcsJy0xMCcsJ0NZJywnUE9SVEFHRycpOw==&amp;_ticker=FI1305US&amp;display_string=audit&amp;HEIGHT=800&amp;WIDTH=1200&amp;WINDOW=POPUP" xr:uid="{98D8C163-7C46-A54C-975F-C3FC4168FFFB}"/>
    <hyperlink ref="L11" r:id="rId22" display="https://my.apps.factset.com/cpe-built-apps-server/fma-audit-report/index.html?_calendar=FIVEDAY&amp;_index=10&amp;_query=Rk1BX1BFWCgnTFRNJywnMCcsJy0xMCcsJ0NZJywnUE9SVEFHRycpOw==&amp;_ticker=FI1305US&amp;display_string=audit&amp;HEIGHT=800&amp;WIDTH=1200&amp;WINDOW=POPUP" xr:uid="{908F038D-C1B3-594A-82FB-9507F70DFE1F}"/>
    <hyperlink ref="B12" r:id="rId23" display="https://my.apps.factset.com/cpe-built-apps-server/fma-audit-report/index.html?_calendar=FIVEDAY&amp;_index=0&amp;_query=Rk1BX1BTQUxFUygnTFRNJywnMCcsJy0xMCcsJ0NZJywnUE9SVEFHRycsJ01FQU5SJyk7&amp;_ticker=FI1305US&amp;display_string=audit&amp;HEIGHT=800&amp;WIDTH=1200&amp;WINDOW=POPUP" xr:uid="{F327B311-BC40-8241-95E5-419A2708FC01}"/>
    <hyperlink ref="C12" r:id="rId24" display="https://my.apps.factset.com/cpe-built-apps-server/fma-audit-report/index.html?_calendar=FIVEDAY&amp;_index=1&amp;_query=Rk1BX1BTQUxFUygnTFRNJywnMCcsJy0xMCcsJ0NZJywnUE9SVEFHRycsJ01FQU5SJyk7&amp;_ticker=FI1305US&amp;display_string=audit&amp;HEIGHT=800&amp;WIDTH=1200&amp;WINDOW=POPUP" xr:uid="{305E7D43-44EC-BE40-A534-1EC7959C610F}"/>
    <hyperlink ref="D12" r:id="rId25" display="https://my.apps.factset.com/cpe-built-apps-server/fma-audit-report/index.html?_calendar=FIVEDAY&amp;_index=2&amp;_query=Rk1BX1BTQUxFUygnTFRNJywnMCcsJy0xMCcsJ0NZJywnUE9SVEFHRycsJ01FQU5SJyk7&amp;_ticker=FI1305US&amp;display_string=audit&amp;HEIGHT=800&amp;WIDTH=1200&amp;WINDOW=POPUP" xr:uid="{038A49D5-A4B1-9348-9251-2ECD30A15F1A}"/>
    <hyperlink ref="E12" r:id="rId26" display="https://my.apps.factset.com/cpe-built-apps-server/fma-audit-report/index.html?_calendar=FIVEDAY&amp;_index=3&amp;_query=Rk1BX1BTQUxFUygnTFRNJywnMCcsJy0xMCcsJ0NZJywnUE9SVEFHRycsJ01FQU5SJyk7&amp;_ticker=FI1305US&amp;display_string=audit&amp;HEIGHT=800&amp;WIDTH=1200&amp;WINDOW=POPUP" xr:uid="{5A802F5C-C665-CB4A-BB0C-244DBDD39799}"/>
    <hyperlink ref="F12" r:id="rId27" display="https://my.apps.factset.com/cpe-built-apps-server/fma-audit-report/index.html?_calendar=FIVEDAY&amp;_index=4&amp;_query=Rk1BX1BTQUxFUygnTFRNJywnMCcsJy0xMCcsJ0NZJywnUE9SVEFHRycsJ01FQU5SJyk7&amp;_ticker=FI1305US&amp;display_string=audit&amp;HEIGHT=800&amp;WIDTH=1200&amp;WINDOW=POPUP" xr:uid="{4CBCF6CF-4C8D-1045-9EFC-9C70F0A1BF7A}"/>
    <hyperlink ref="G12" r:id="rId28" display="https://my.apps.factset.com/cpe-built-apps-server/fma-audit-report/index.html?_calendar=FIVEDAY&amp;_index=5&amp;_query=Rk1BX1BTQUxFUygnTFRNJywnMCcsJy0xMCcsJ0NZJywnUE9SVEFHRycsJ01FQU5SJyk7&amp;_ticker=FI1305US&amp;display_string=audit&amp;HEIGHT=800&amp;WIDTH=1200&amp;WINDOW=POPUP" xr:uid="{45E4D1EB-C9E0-7447-A054-A4BCA4503C5A}"/>
    <hyperlink ref="H12" r:id="rId29" display="https://my.apps.factset.com/cpe-built-apps-server/fma-audit-report/index.html?_calendar=FIVEDAY&amp;_index=6&amp;_query=Rk1BX1BTQUxFUygnTFRNJywnMCcsJy0xMCcsJ0NZJywnUE9SVEFHRycsJ01FQU5SJyk7&amp;_ticker=FI1305US&amp;display_string=audit&amp;HEIGHT=800&amp;WIDTH=1200&amp;WINDOW=POPUP" xr:uid="{E0B66C81-CEF4-3146-9C90-D1BA00408238}"/>
    <hyperlink ref="I12" r:id="rId30" display="https://my.apps.factset.com/cpe-built-apps-server/fma-audit-report/index.html?_calendar=FIVEDAY&amp;_index=7&amp;_query=Rk1BX1BTQUxFUygnTFRNJywnMCcsJy0xMCcsJ0NZJywnUE9SVEFHRycsJ01FQU5SJyk7&amp;_ticker=FI1305US&amp;display_string=audit&amp;HEIGHT=800&amp;WIDTH=1200&amp;WINDOW=POPUP" xr:uid="{ED036CEA-0E79-3844-9FD6-1532E7E5A32F}"/>
    <hyperlink ref="J12" r:id="rId31" display="https://my.apps.factset.com/cpe-built-apps-server/fma-audit-report/index.html?_calendar=FIVEDAY&amp;_index=8&amp;_query=Rk1BX1BTQUxFUygnTFRNJywnMCcsJy0xMCcsJ0NZJywnUE9SVEFHRycsJ01FQU5SJyk7&amp;_ticker=FI1305US&amp;display_string=audit&amp;HEIGHT=800&amp;WIDTH=1200&amp;WINDOW=POPUP" xr:uid="{AF4D269E-A990-6440-901E-B11BA7073083}"/>
    <hyperlink ref="K12" r:id="rId32" display="https://my.apps.factset.com/cpe-built-apps-server/fma-audit-report/index.html?_calendar=FIVEDAY&amp;_index=9&amp;_query=Rk1BX1BTQUxFUygnTFRNJywnMCcsJy0xMCcsJ0NZJywnUE9SVEFHRycsJ01FQU5SJyk7&amp;_ticker=FI1305US&amp;display_string=audit&amp;HEIGHT=800&amp;WIDTH=1200&amp;WINDOW=POPUP" xr:uid="{B0F86FBB-818C-E041-9209-3668B4A3AC83}"/>
    <hyperlink ref="L12" r:id="rId33" display="https://my.apps.factset.com/cpe-built-apps-server/fma-audit-report/index.html?_calendar=FIVEDAY&amp;_index=10&amp;_query=Rk1BX1BTQUxFUygnTFRNJywnMCcsJy0xMCcsJ0NZJywnUE9SVEFHRycsJ01FQU5SJyk7&amp;_ticker=FI1305US&amp;display_string=audit&amp;HEIGHT=800&amp;WIDTH=1200&amp;WINDOW=POPUP" xr:uid="{3ABC9053-B1AC-EB43-A1F2-B2947185E8FA}"/>
    <hyperlink ref="B13" r:id="rId34" display="https://my.apps.factset.com/cpe-built-apps-server/fma-audit-report/index.html?_calendar=FIVEDAY&amp;_index=0&amp;_query=Rk1BX1BCSygnTFRNJywnMCcsJy0xMCcsJ0NZJywnUE9SVEFHRycsJ01FQU5SJyk7&amp;_ticker=FI1305US&amp;display_string=audit&amp;HEIGHT=800&amp;WIDTH=1200&amp;WINDOW=POPUP" xr:uid="{091BE20F-812C-BE42-9765-F06200FC65A8}"/>
    <hyperlink ref="C13" r:id="rId35" display="https://my.apps.factset.com/cpe-built-apps-server/fma-audit-report/index.html?_calendar=FIVEDAY&amp;_index=1&amp;_query=Rk1BX1BCSygnTFRNJywnMCcsJy0xMCcsJ0NZJywnUE9SVEFHRycsJ01FQU5SJyk7&amp;_ticker=FI1305US&amp;display_string=audit&amp;HEIGHT=800&amp;WIDTH=1200&amp;WINDOW=POPUP" xr:uid="{F371AC78-4680-2F42-B5B4-E48ACE0844DD}"/>
    <hyperlink ref="D13" r:id="rId36" display="https://my.apps.factset.com/cpe-built-apps-server/fma-audit-report/index.html?_calendar=FIVEDAY&amp;_index=2&amp;_query=Rk1BX1BCSygnTFRNJywnMCcsJy0xMCcsJ0NZJywnUE9SVEFHRycsJ01FQU5SJyk7&amp;_ticker=FI1305US&amp;display_string=audit&amp;HEIGHT=800&amp;WIDTH=1200&amp;WINDOW=POPUP" xr:uid="{0F54CD8F-21F5-6448-AD24-5AD037441ED2}"/>
    <hyperlink ref="E13" r:id="rId37" display="https://my.apps.factset.com/cpe-built-apps-server/fma-audit-report/index.html?_calendar=FIVEDAY&amp;_index=3&amp;_query=Rk1BX1BCSygnTFRNJywnMCcsJy0xMCcsJ0NZJywnUE9SVEFHRycsJ01FQU5SJyk7&amp;_ticker=FI1305US&amp;display_string=audit&amp;HEIGHT=800&amp;WIDTH=1200&amp;WINDOW=POPUP" xr:uid="{3B444834-1E03-9C45-9736-33B5F3F921F1}"/>
    <hyperlink ref="F13" r:id="rId38" display="https://my.apps.factset.com/cpe-built-apps-server/fma-audit-report/index.html?_calendar=FIVEDAY&amp;_index=4&amp;_query=Rk1BX1BCSygnTFRNJywnMCcsJy0xMCcsJ0NZJywnUE9SVEFHRycsJ01FQU5SJyk7&amp;_ticker=FI1305US&amp;display_string=audit&amp;HEIGHT=800&amp;WIDTH=1200&amp;WINDOW=POPUP" xr:uid="{8268B109-505B-8B47-9B3B-D29E02169910}"/>
    <hyperlink ref="G13" r:id="rId39" display="https://my.apps.factset.com/cpe-built-apps-server/fma-audit-report/index.html?_calendar=FIVEDAY&amp;_index=5&amp;_query=Rk1BX1BCSygnTFRNJywnMCcsJy0xMCcsJ0NZJywnUE9SVEFHRycsJ01FQU5SJyk7&amp;_ticker=FI1305US&amp;display_string=audit&amp;HEIGHT=800&amp;WIDTH=1200&amp;WINDOW=POPUP" xr:uid="{5F0CDB03-045A-584F-A924-964D36073F35}"/>
    <hyperlink ref="H13" r:id="rId40" display="https://my.apps.factset.com/cpe-built-apps-server/fma-audit-report/index.html?_calendar=FIVEDAY&amp;_index=6&amp;_query=Rk1BX1BCSygnTFRNJywnMCcsJy0xMCcsJ0NZJywnUE9SVEFHRycsJ01FQU5SJyk7&amp;_ticker=FI1305US&amp;display_string=audit&amp;HEIGHT=800&amp;WIDTH=1200&amp;WINDOW=POPUP" xr:uid="{405E148F-8D3E-2F4C-9357-47B1158F6D76}"/>
    <hyperlink ref="I13" r:id="rId41" display="https://my.apps.factset.com/cpe-built-apps-server/fma-audit-report/index.html?_calendar=FIVEDAY&amp;_index=7&amp;_query=Rk1BX1BCSygnTFRNJywnMCcsJy0xMCcsJ0NZJywnUE9SVEFHRycsJ01FQU5SJyk7&amp;_ticker=FI1305US&amp;display_string=audit&amp;HEIGHT=800&amp;WIDTH=1200&amp;WINDOW=POPUP" xr:uid="{81D083B2-B8D9-1A42-A7B9-2CB4BDC1DC04}"/>
    <hyperlink ref="J13" r:id="rId42" display="https://my.apps.factset.com/cpe-built-apps-server/fma-audit-report/index.html?_calendar=FIVEDAY&amp;_index=8&amp;_query=Rk1BX1BCSygnTFRNJywnMCcsJy0xMCcsJ0NZJywnUE9SVEFHRycsJ01FQU5SJyk7&amp;_ticker=FI1305US&amp;display_string=audit&amp;HEIGHT=800&amp;WIDTH=1200&amp;WINDOW=POPUP" xr:uid="{FCAE3A0E-CF3D-7C48-A0E2-A5D6550B9223}"/>
    <hyperlink ref="K13" r:id="rId43" display="https://my.apps.factset.com/cpe-built-apps-server/fma-audit-report/index.html?_calendar=FIVEDAY&amp;_index=9&amp;_query=Rk1BX1BCSygnTFRNJywnMCcsJy0xMCcsJ0NZJywnUE9SVEFHRycsJ01FQU5SJyk7&amp;_ticker=FI1305US&amp;display_string=audit&amp;HEIGHT=800&amp;WIDTH=1200&amp;WINDOW=POPUP" xr:uid="{2F7E118D-6E57-DF40-8F6F-1EEBF329C1EB}"/>
    <hyperlink ref="L13" r:id="rId44" display="https://my.apps.factset.com/cpe-built-apps-server/fma-audit-report/index.html?_calendar=FIVEDAY&amp;_index=10&amp;_query=Rk1BX1BCSygnTFRNJywnMCcsJy0xMCcsJ0NZJywnUE9SVEFHRycsJ01FQU5SJyk7&amp;_ticker=FI1305US&amp;display_string=audit&amp;HEIGHT=800&amp;WIDTH=1200&amp;WINDOW=POPUP" xr:uid="{FF1FD524-7CA3-2D4B-B212-62AE89E91AB5}"/>
    <hyperlink ref="B14" r:id="rId45" display="https://my.apps.factset.com/cpe-built-apps-server/fma-audit-report/index.html?_calendar=FIVEDAY&amp;_index=0&amp;_query=Rk1BX1BDRignTFRNJywnMCcsJy0xMCcsJ0NZJywnUE9SVEFHRycsJ01FQU5SJyk7&amp;_ticker=FI1305US&amp;display_string=audit&amp;HEIGHT=800&amp;WIDTH=1200&amp;WINDOW=POPUP" xr:uid="{BCCAB56D-7A13-5D44-A85E-0D64C01B4D57}"/>
    <hyperlink ref="C14" r:id="rId46" display="https://my.apps.factset.com/cpe-built-apps-server/fma-audit-report/index.html?_calendar=FIVEDAY&amp;_index=1&amp;_query=Rk1BX1BDRignTFRNJywnMCcsJy0xMCcsJ0NZJywnUE9SVEFHRycsJ01FQU5SJyk7&amp;_ticker=FI1305US&amp;display_string=audit&amp;HEIGHT=800&amp;WIDTH=1200&amp;WINDOW=POPUP" xr:uid="{F15EA7E2-8448-894C-B93E-BB1BBD99EE58}"/>
    <hyperlink ref="D14" r:id="rId47" display="https://my.apps.factset.com/cpe-built-apps-server/fma-audit-report/index.html?_calendar=FIVEDAY&amp;_index=2&amp;_query=Rk1BX1BDRignTFRNJywnMCcsJy0xMCcsJ0NZJywnUE9SVEFHRycsJ01FQU5SJyk7&amp;_ticker=FI1305US&amp;display_string=audit&amp;HEIGHT=800&amp;WIDTH=1200&amp;WINDOW=POPUP" xr:uid="{C856D05B-E6DF-B74F-ACBF-FFDCA3AC9BF8}"/>
    <hyperlink ref="E14" r:id="rId48" display="https://my.apps.factset.com/cpe-built-apps-server/fma-audit-report/index.html?_calendar=FIVEDAY&amp;_index=3&amp;_query=Rk1BX1BDRignTFRNJywnMCcsJy0xMCcsJ0NZJywnUE9SVEFHRycsJ01FQU5SJyk7&amp;_ticker=FI1305US&amp;display_string=audit&amp;HEIGHT=800&amp;WIDTH=1200&amp;WINDOW=POPUP" xr:uid="{72285DFA-C512-424F-A060-835314ED7D03}"/>
    <hyperlink ref="F14" r:id="rId49" display="https://my.apps.factset.com/cpe-built-apps-server/fma-audit-report/index.html?_calendar=FIVEDAY&amp;_index=4&amp;_query=Rk1BX1BDRignTFRNJywnMCcsJy0xMCcsJ0NZJywnUE9SVEFHRycsJ01FQU5SJyk7&amp;_ticker=FI1305US&amp;display_string=audit&amp;HEIGHT=800&amp;WIDTH=1200&amp;WINDOW=POPUP" xr:uid="{D62609B6-F7A4-1148-ADF5-3505B5C75F12}"/>
    <hyperlink ref="G14" r:id="rId50" display="https://my.apps.factset.com/cpe-built-apps-server/fma-audit-report/index.html?_calendar=FIVEDAY&amp;_index=5&amp;_query=Rk1BX1BDRignTFRNJywnMCcsJy0xMCcsJ0NZJywnUE9SVEFHRycsJ01FQU5SJyk7&amp;_ticker=FI1305US&amp;display_string=audit&amp;HEIGHT=800&amp;WIDTH=1200&amp;WINDOW=POPUP" xr:uid="{9E93CD91-BB38-0549-8BA2-DE78E4E0EA06}"/>
    <hyperlink ref="H14" r:id="rId51" display="https://my.apps.factset.com/cpe-built-apps-server/fma-audit-report/index.html?_calendar=FIVEDAY&amp;_index=6&amp;_query=Rk1BX1BDRignTFRNJywnMCcsJy0xMCcsJ0NZJywnUE9SVEFHRycsJ01FQU5SJyk7&amp;_ticker=FI1305US&amp;display_string=audit&amp;HEIGHT=800&amp;WIDTH=1200&amp;WINDOW=POPUP" xr:uid="{4EE0FB16-FD8E-F545-A1D8-06B52F7B099C}"/>
    <hyperlink ref="I14" r:id="rId52" display="https://my.apps.factset.com/cpe-built-apps-server/fma-audit-report/index.html?_calendar=FIVEDAY&amp;_index=7&amp;_query=Rk1BX1BDRignTFRNJywnMCcsJy0xMCcsJ0NZJywnUE9SVEFHRycsJ01FQU5SJyk7&amp;_ticker=FI1305US&amp;display_string=audit&amp;HEIGHT=800&amp;WIDTH=1200&amp;WINDOW=POPUP" xr:uid="{618C3FBC-CCCA-184F-8FB7-667A4C125063}"/>
    <hyperlink ref="J14" r:id="rId53" display="https://my.apps.factset.com/cpe-built-apps-server/fma-audit-report/index.html?_calendar=FIVEDAY&amp;_index=8&amp;_query=Rk1BX1BDRignTFRNJywnMCcsJy0xMCcsJ0NZJywnUE9SVEFHRycsJ01FQU5SJyk7&amp;_ticker=FI1305US&amp;display_string=audit&amp;HEIGHT=800&amp;WIDTH=1200&amp;WINDOW=POPUP" xr:uid="{F1DB7249-894C-CD41-A31A-C5EBC937D2C2}"/>
    <hyperlink ref="K14" r:id="rId54" display="https://my.apps.factset.com/cpe-built-apps-server/fma-audit-report/index.html?_calendar=FIVEDAY&amp;_index=9&amp;_query=Rk1BX1BDRignTFRNJywnMCcsJy0xMCcsJ0NZJywnUE9SVEFHRycsJ01FQU5SJyk7&amp;_ticker=FI1305US&amp;display_string=audit&amp;HEIGHT=800&amp;WIDTH=1200&amp;WINDOW=POPUP" xr:uid="{9482DEF1-D375-AA45-B790-17D7D91DA451}"/>
    <hyperlink ref="L14" r:id="rId55" display="https://my.apps.factset.com/cpe-built-apps-server/fma-audit-report/index.html?_calendar=FIVEDAY&amp;_index=10&amp;_query=Rk1BX1BDRignTFRNJywnMCcsJy0xMCcsJ0NZJywnUE9SVEFHRycsJ01FQU5SJyk7&amp;_ticker=FI1305US&amp;display_string=audit&amp;HEIGHT=800&amp;WIDTH=1200&amp;WINDOW=POPUP" xr:uid="{62C81774-A602-1443-89AB-B6D36D0ECE8E}"/>
    <hyperlink ref="B15" r:id="rId56" display="https://my.apps.factset.com/cpe-built-apps-server/fma-audit-report/index.html?_calendar=FIVEDAY&amp;_index=0&amp;_query=Rk1BX1BDRlgoJ0xUTScsJzAnLCctMTAnLCdDWScsJ1BPUlRBR0cnKTs=&amp;_ticker=FI1305US&amp;display_string=audit&amp;HEIGHT=800&amp;WIDTH=1200&amp;WINDOW=POPUP" xr:uid="{02D8880D-CF7D-BC46-9DF6-C85537BA0181}"/>
    <hyperlink ref="C15" r:id="rId57" display="https://my.apps.factset.com/cpe-built-apps-server/fma-audit-report/index.html?_calendar=FIVEDAY&amp;_index=1&amp;_query=Rk1BX1BDRlgoJ0xUTScsJzAnLCctMTAnLCdDWScsJ1BPUlRBR0cnKTs=&amp;_ticker=FI1305US&amp;display_string=audit&amp;HEIGHT=800&amp;WIDTH=1200&amp;WINDOW=POPUP" xr:uid="{45751F9A-ABBF-8846-B059-D90CB8AB1486}"/>
    <hyperlink ref="D15" r:id="rId58" display="https://my.apps.factset.com/cpe-built-apps-server/fma-audit-report/index.html?_calendar=FIVEDAY&amp;_index=2&amp;_query=Rk1BX1BDRlgoJ0xUTScsJzAnLCctMTAnLCdDWScsJ1BPUlRBR0cnKTs=&amp;_ticker=FI1305US&amp;display_string=audit&amp;HEIGHT=800&amp;WIDTH=1200&amp;WINDOW=POPUP" xr:uid="{D7430F7B-7831-A643-8E89-B34D6EEE6FCB}"/>
    <hyperlink ref="E15" r:id="rId59" display="https://my.apps.factset.com/cpe-built-apps-server/fma-audit-report/index.html?_calendar=FIVEDAY&amp;_index=3&amp;_query=Rk1BX1BDRlgoJ0xUTScsJzAnLCctMTAnLCdDWScsJ1BPUlRBR0cnKTs=&amp;_ticker=FI1305US&amp;display_string=audit&amp;HEIGHT=800&amp;WIDTH=1200&amp;WINDOW=POPUP" xr:uid="{30405896-F5E3-1D45-B690-7E0239B9006A}"/>
    <hyperlink ref="F15" r:id="rId60" display="https://my.apps.factset.com/cpe-built-apps-server/fma-audit-report/index.html?_calendar=FIVEDAY&amp;_index=4&amp;_query=Rk1BX1BDRlgoJ0xUTScsJzAnLCctMTAnLCdDWScsJ1BPUlRBR0cnKTs=&amp;_ticker=FI1305US&amp;display_string=audit&amp;HEIGHT=800&amp;WIDTH=1200&amp;WINDOW=POPUP" xr:uid="{13F52794-1C64-4845-AF36-03CD166F5ABA}"/>
    <hyperlink ref="G15" r:id="rId61" display="https://my.apps.factset.com/cpe-built-apps-server/fma-audit-report/index.html?_calendar=FIVEDAY&amp;_index=5&amp;_query=Rk1BX1BDRlgoJ0xUTScsJzAnLCctMTAnLCdDWScsJ1BPUlRBR0cnKTs=&amp;_ticker=FI1305US&amp;display_string=audit&amp;HEIGHT=800&amp;WIDTH=1200&amp;WINDOW=POPUP" xr:uid="{44C69614-E2BB-5942-9F21-7B28B66BDC4B}"/>
    <hyperlink ref="H15" r:id="rId62" display="https://my.apps.factset.com/cpe-built-apps-server/fma-audit-report/index.html?_calendar=FIVEDAY&amp;_index=6&amp;_query=Rk1BX1BDRlgoJ0xUTScsJzAnLCctMTAnLCdDWScsJ1BPUlRBR0cnKTs=&amp;_ticker=FI1305US&amp;display_string=audit&amp;HEIGHT=800&amp;WIDTH=1200&amp;WINDOW=POPUP" xr:uid="{8C00A54D-7A6E-834A-98AB-EED6B94E8AB5}"/>
    <hyperlink ref="I15" r:id="rId63" display="https://my.apps.factset.com/cpe-built-apps-server/fma-audit-report/index.html?_calendar=FIVEDAY&amp;_index=7&amp;_query=Rk1BX1BDRlgoJ0xUTScsJzAnLCctMTAnLCdDWScsJ1BPUlRBR0cnKTs=&amp;_ticker=FI1305US&amp;display_string=audit&amp;HEIGHT=800&amp;WIDTH=1200&amp;WINDOW=POPUP" xr:uid="{AE134198-1650-0749-9AFD-1A2804A42A2B}"/>
    <hyperlink ref="J15" r:id="rId64" display="https://my.apps.factset.com/cpe-built-apps-server/fma-audit-report/index.html?_calendar=FIVEDAY&amp;_index=8&amp;_query=Rk1BX1BDRlgoJ0xUTScsJzAnLCctMTAnLCdDWScsJ1BPUlRBR0cnKTs=&amp;_ticker=FI1305US&amp;display_string=audit&amp;HEIGHT=800&amp;WIDTH=1200&amp;WINDOW=POPUP" xr:uid="{93DA6465-6592-FA45-A806-8E2A92CDC10B}"/>
    <hyperlink ref="K15" r:id="rId65" display="https://my.apps.factset.com/cpe-built-apps-server/fma-audit-report/index.html?_calendar=FIVEDAY&amp;_index=9&amp;_query=Rk1BX1BDRlgoJ0xUTScsJzAnLCctMTAnLCdDWScsJ1BPUlRBR0cnKTs=&amp;_ticker=FI1305US&amp;display_string=audit&amp;HEIGHT=800&amp;WIDTH=1200&amp;WINDOW=POPUP" xr:uid="{0F72438A-5C1B-0749-B683-FF4BB4C1023A}"/>
    <hyperlink ref="L15" r:id="rId66" display="https://my.apps.factset.com/cpe-built-apps-server/fma-audit-report/index.html?_calendar=FIVEDAY&amp;_index=10&amp;_query=Rk1BX1BDRlgoJ0xUTScsJzAnLCctMTAnLCdDWScsJ1BPUlRBR0cnKTs=&amp;_ticker=FI1305US&amp;display_string=audit&amp;HEIGHT=800&amp;WIDTH=1200&amp;WINDOW=POPUP" xr:uid="{448FC187-EA20-1B42-9A7A-A4EFC7AA219A}"/>
    <hyperlink ref="B16" r:id="rId67" display="https://my.apps.factset.com/cpe-built-apps-server/fma-audit-report/index.html?_calendar=FIVEDAY&amp;_index=0&amp;_query=Rk1BX1BGQ0YoJ0xUTScsJzAnLCctMTAnLCdDWScsJ1BPUlRBR0cnLCdNRUFOUicpOw==&amp;_ticker=FI1305US&amp;display_string=audit&amp;HEIGHT=800&amp;WIDTH=1200&amp;WINDOW=POPUP" xr:uid="{6C40F775-D9DE-9248-B769-0A9E20BCC34D}"/>
    <hyperlink ref="C16" r:id="rId68" display="https://my.apps.factset.com/cpe-built-apps-server/fma-audit-report/index.html?_calendar=FIVEDAY&amp;_index=1&amp;_query=Rk1BX1BGQ0YoJ0xUTScsJzAnLCctMTAnLCdDWScsJ1BPUlRBR0cnLCdNRUFOUicpOw==&amp;_ticker=FI1305US&amp;display_string=audit&amp;HEIGHT=800&amp;WIDTH=1200&amp;WINDOW=POPUP" xr:uid="{0DE6F1B6-1D03-9C4B-BFDB-4E211E351D6B}"/>
    <hyperlink ref="D16" r:id="rId69" display="https://my.apps.factset.com/cpe-built-apps-server/fma-audit-report/index.html?_calendar=FIVEDAY&amp;_index=2&amp;_query=Rk1BX1BGQ0YoJ0xUTScsJzAnLCctMTAnLCdDWScsJ1BPUlRBR0cnLCdNRUFOUicpOw==&amp;_ticker=FI1305US&amp;display_string=audit&amp;HEIGHT=800&amp;WIDTH=1200&amp;WINDOW=POPUP" xr:uid="{72A74320-11DB-0242-8F25-F110722355AE}"/>
    <hyperlink ref="E16" r:id="rId70" display="https://my.apps.factset.com/cpe-built-apps-server/fma-audit-report/index.html?_calendar=FIVEDAY&amp;_index=3&amp;_query=Rk1BX1BGQ0YoJ0xUTScsJzAnLCctMTAnLCdDWScsJ1BPUlRBR0cnLCdNRUFOUicpOw==&amp;_ticker=FI1305US&amp;display_string=audit&amp;HEIGHT=800&amp;WIDTH=1200&amp;WINDOW=POPUP" xr:uid="{3BFA2C73-BB9E-2145-AA55-8AC803A14C01}"/>
    <hyperlink ref="F16" r:id="rId71" display="https://my.apps.factset.com/cpe-built-apps-server/fma-audit-report/index.html?_calendar=FIVEDAY&amp;_index=4&amp;_query=Rk1BX1BGQ0YoJ0xUTScsJzAnLCctMTAnLCdDWScsJ1BPUlRBR0cnLCdNRUFOUicpOw==&amp;_ticker=FI1305US&amp;display_string=audit&amp;HEIGHT=800&amp;WIDTH=1200&amp;WINDOW=POPUP" xr:uid="{754C1F38-84E0-8241-A3E3-B911A53B9B96}"/>
    <hyperlink ref="G16" r:id="rId72" display="https://my.apps.factset.com/cpe-built-apps-server/fma-audit-report/index.html?_calendar=FIVEDAY&amp;_index=5&amp;_query=Rk1BX1BGQ0YoJ0xUTScsJzAnLCctMTAnLCdDWScsJ1BPUlRBR0cnLCdNRUFOUicpOw==&amp;_ticker=FI1305US&amp;display_string=audit&amp;HEIGHT=800&amp;WIDTH=1200&amp;WINDOW=POPUP" xr:uid="{8A6A18E5-B78B-8A4B-B4A5-5B960C91062E}"/>
    <hyperlink ref="H16" r:id="rId73" display="https://my.apps.factset.com/cpe-built-apps-server/fma-audit-report/index.html?_calendar=FIVEDAY&amp;_index=6&amp;_query=Rk1BX1BGQ0YoJ0xUTScsJzAnLCctMTAnLCdDWScsJ1BPUlRBR0cnLCdNRUFOUicpOw==&amp;_ticker=FI1305US&amp;display_string=audit&amp;HEIGHT=800&amp;WIDTH=1200&amp;WINDOW=POPUP" xr:uid="{2EC8FDF1-4953-2844-B624-509C1419E048}"/>
    <hyperlink ref="I16" r:id="rId74" display="https://my.apps.factset.com/cpe-built-apps-server/fma-audit-report/index.html?_calendar=FIVEDAY&amp;_index=7&amp;_query=Rk1BX1BGQ0YoJ0xUTScsJzAnLCctMTAnLCdDWScsJ1BPUlRBR0cnLCdNRUFOUicpOw==&amp;_ticker=FI1305US&amp;display_string=audit&amp;HEIGHT=800&amp;WIDTH=1200&amp;WINDOW=POPUP" xr:uid="{0E510400-A8AD-D34A-8DA8-ECA01627B815}"/>
    <hyperlink ref="J16" r:id="rId75" display="https://my.apps.factset.com/cpe-built-apps-server/fma-audit-report/index.html?_calendar=FIVEDAY&amp;_index=8&amp;_query=Rk1BX1BGQ0YoJ0xUTScsJzAnLCctMTAnLCdDWScsJ1BPUlRBR0cnLCdNRUFOUicpOw==&amp;_ticker=FI1305US&amp;display_string=audit&amp;HEIGHT=800&amp;WIDTH=1200&amp;WINDOW=POPUP" xr:uid="{142361F4-922A-7A4B-AC92-02A75C9218F2}"/>
    <hyperlink ref="K16" r:id="rId76" display="https://my.apps.factset.com/cpe-built-apps-server/fma-audit-report/index.html?_calendar=FIVEDAY&amp;_index=9&amp;_query=Rk1BX1BGQ0YoJ0xUTScsJzAnLCctMTAnLCdDWScsJ1BPUlRBR0cnLCdNRUFOUicpOw==&amp;_ticker=FI1305US&amp;display_string=audit&amp;HEIGHT=800&amp;WIDTH=1200&amp;WINDOW=POPUP" xr:uid="{9E21D4EC-17CC-444B-B29A-D5C8F3F9D810}"/>
    <hyperlink ref="L16" r:id="rId77" display="https://my.apps.factset.com/cpe-built-apps-server/fma-audit-report/index.html?_calendar=FIVEDAY&amp;_index=10&amp;_query=Rk1BX1BGQ0YoJ0xUTScsJzAnLCctMTAnLCdDWScsJ1BPUlRBR0cnLCdNRUFOUicpOw==&amp;_ticker=FI1305US&amp;display_string=audit&amp;HEIGHT=800&amp;WIDTH=1200&amp;WINDOW=POPUP" xr:uid="{E1ADFA06-9D46-9E4B-A7E8-C9302ACAD18C}"/>
    <hyperlink ref="B17" r:id="rId78" display="https://my.apps.factset.com/cpe-built-apps-server/fma-audit-report/index.html?_calendar=FIVEDAY&amp;_index=0&amp;_query=Rk1BX0VWQUxfRUJJVCgnTFRNJywnMCcsJy0xMCcsJ0NZJywnUE9SVEFHRycsJ01FQU5SJyk7&amp;_ticker=FI1305US&amp;display_string=audit&amp;HEIGHT=800&amp;WIDTH=1200&amp;WINDOW=POPUP" xr:uid="{8EAA4196-A4B9-5342-A830-FEF69EE61667}"/>
    <hyperlink ref="C17" r:id="rId79" display="https://my.apps.factset.com/cpe-built-apps-server/fma-audit-report/index.html?_calendar=FIVEDAY&amp;_index=1&amp;_query=Rk1BX0VWQUxfRUJJVCgnTFRNJywnMCcsJy0xMCcsJ0NZJywnUE9SVEFHRycsJ01FQU5SJyk7&amp;_ticker=FI1305US&amp;display_string=audit&amp;HEIGHT=800&amp;WIDTH=1200&amp;WINDOW=POPUP" xr:uid="{176CA028-0AB4-0D46-95E5-C6AC1E6B9FD0}"/>
    <hyperlink ref="D17" r:id="rId80" display="https://my.apps.factset.com/cpe-built-apps-server/fma-audit-report/index.html?_calendar=FIVEDAY&amp;_index=2&amp;_query=Rk1BX0VWQUxfRUJJVCgnTFRNJywnMCcsJy0xMCcsJ0NZJywnUE9SVEFHRycsJ01FQU5SJyk7&amp;_ticker=FI1305US&amp;display_string=audit&amp;HEIGHT=800&amp;WIDTH=1200&amp;WINDOW=POPUP" xr:uid="{3BE46B4F-E03A-C84F-B856-13495F392924}"/>
    <hyperlink ref="E17" r:id="rId81" display="https://my.apps.factset.com/cpe-built-apps-server/fma-audit-report/index.html?_calendar=FIVEDAY&amp;_index=3&amp;_query=Rk1BX0VWQUxfRUJJVCgnTFRNJywnMCcsJy0xMCcsJ0NZJywnUE9SVEFHRycsJ01FQU5SJyk7&amp;_ticker=FI1305US&amp;display_string=audit&amp;HEIGHT=800&amp;WIDTH=1200&amp;WINDOW=POPUP" xr:uid="{6BE0DA58-9672-4B40-9107-9AB99923258B}"/>
    <hyperlink ref="F17" r:id="rId82" display="https://my.apps.factset.com/cpe-built-apps-server/fma-audit-report/index.html?_calendar=FIVEDAY&amp;_index=4&amp;_query=Rk1BX0VWQUxfRUJJVCgnTFRNJywnMCcsJy0xMCcsJ0NZJywnUE9SVEFHRycsJ01FQU5SJyk7&amp;_ticker=FI1305US&amp;display_string=audit&amp;HEIGHT=800&amp;WIDTH=1200&amp;WINDOW=POPUP" xr:uid="{97FC4C9D-E3F6-4E45-A7AB-CA676253696C}"/>
    <hyperlink ref="G17" r:id="rId83" display="https://my.apps.factset.com/cpe-built-apps-server/fma-audit-report/index.html?_calendar=FIVEDAY&amp;_index=5&amp;_query=Rk1BX0VWQUxfRUJJVCgnTFRNJywnMCcsJy0xMCcsJ0NZJywnUE9SVEFHRycsJ01FQU5SJyk7&amp;_ticker=FI1305US&amp;display_string=audit&amp;HEIGHT=800&amp;WIDTH=1200&amp;WINDOW=POPUP" xr:uid="{7B68DBC8-6B20-8E4D-8F06-2367FBDB0614}"/>
    <hyperlink ref="H17" r:id="rId84" display="https://my.apps.factset.com/cpe-built-apps-server/fma-audit-report/index.html?_calendar=FIVEDAY&amp;_index=6&amp;_query=Rk1BX0VWQUxfRUJJVCgnTFRNJywnMCcsJy0xMCcsJ0NZJywnUE9SVEFHRycsJ01FQU5SJyk7&amp;_ticker=FI1305US&amp;display_string=audit&amp;HEIGHT=800&amp;WIDTH=1200&amp;WINDOW=POPUP" xr:uid="{0019AC8E-F350-A740-97A2-445761E71FC1}"/>
    <hyperlink ref="I17" r:id="rId85" display="https://my.apps.factset.com/cpe-built-apps-server/fma-audit-report/index.html?_calendar=FIVEDAY&amp;_index=7&amp;_query=Rk1BX0VWQUxfRUJJVCgnTFRNJywnMCcsJy0xMCcsJ0NZJywnUE9SVEFHRycsJ01FQU5SJyk7&amp;_ticker=FI1305US&amp;display_string=audit&amp;HEIGHT=800&amp;WIDTH=1200&amp;WINDOW=POPUP" xr:uid="{DF95D1C5-859B-3145-B893-CA2DC3D8AA31}"/>
    <hyperlink ref="J17" r:id="rId86" display="https://my.apps.factset.com/cpe-built-apps-server/fma-audit-report/index.html?_calendar=FIVEDAY&amp;_index=8&amp;_query=Rk1BX0VWQUxfRUJJVCgnTFRNJywnMCcsJy0xMCcsJ0NZJywnUE9SVEFHRycsJ01FQU5SJyk7&amp;_ticker=FI1305US&amp;display_string=audit&amp;HEIGHT=800&amp;WIDTH=1200&amp;WINDOW=POPUP" xr:uid="{2FA731D0-35D7-7D45-918B-DA586EEDE8BC}"/>
    <hyperlink ref="K17" r:id="rId87" display="https://my.apps.factset.com/cpe-built-apps-server/fma-audit-report/index.html?_calendar=FIVEDAY&amp;_index=9&amp;_query=Rk1BX0VWQUxfRUJJVCgnTFRNJywnMCcsJy0xMCcsJ0NZJywnUE9SVEFHRycsJ01FQU5SJyk7&amp;_ticker=FI1305US&amp;display_string=audit&amp;HEIGHT=800&amp;WIDTH=1200&amp;WINDOW=POPUP" xr:uid="{3E5B79DC-72B2-7D40-8C6B-5D8E63A1BDE5}"/>
    <hyperlink ref="L17" r:id="rId88" display="https://my.apps.factset.com/cpe-built-apps-server/fma-audit-report/index.html?_calendar=FIVEDAY&amp;_index=10&amp;_query=Rk1BX0VWQUxfRUJJVCgnTFRNJywnMCcsJy0xMCcsJ0NZJywnUE9SVEFHRycsJ01FQU5SJyk7&amp;_ticker=FI1305US&amp;display_string=audit&amp;HEIGHT=800&amp;WIDTH=1200&amp;WINDOW=POPUP" xr:uid="{C6CA05DD-D3ED-4A4F-97EC-A0E09986A266}"/>
    <hyperlink ref="B18" r:id="rId89" display="https://my.apps.factset.com/cpe-built-apps-server/fma-audit-report/index.html?_calendar=FIVEDAY&amp;_index=0&amp;_query=Rk1BX0VWQUxfRUJJVERBKCdMVE0nLCcwJywnLTEwJywnQ1knLCdQT1JUQUdHJywnTUVBTlInKTs=&amp;_ticker=FI1305US&amp;display_string=audit&amp;HEIGHT=800&amp;WIDTH=1200&amp;WINDOW=POPUP" xr:uid="{83530BE3-ABDC-FF49-A83B-3DFC808284D8}"/>
    <hyperlink ref="C18" r:id="rId90" display="https://my.apps.factset.com/cpe-built-apps-server/fma-audit-report/index.html?_calendar=FIVEDAY&amp;_index=1&amp;_query=Rk1BX0VWQUxfRUJJVERBKCdMVE0nLCcwJywnLTEwJywnQ1knLCdQT1JUQUdHJywnTUVBTlInKTs=&amp;_ticker=FI1305US&amp;display_string=audit&amp;HEIGHT=800&amp;WIDTH=1200&amp;WINDOW=POPUP" xr:uid="{0DF7DAF4-83EC-234A-82C4-C00ECE0260F8}"/>
    <hyperlink ref="D18" r:id="rId91" display="https://my.apps.factset.com/cpe-built-apps-server/fma-audit-report/index.html?_calendar=FIVEDAY&amp;_index=2&amp;_query=Rk1BX0VWQUxfRUJJVERBKCdMVE0nLCcwJywnLTEwJywnQ1knLCdQT1JUQUdHJywnTUVBTlInKTs=&amp;_ticker=FI1305US&amp;display_string=audit&amp;HEIGHT=800&amp;WIDTH=1200&amp;WINDOW=POPUP" xr:uid="{58482135-14D5-244B-96F4-0255AE765BA3}"/>
    <hyperlink ref="E18" r:id="rId92" display="https://my.apps.factset.com/cpe-built-apps-server/fma-audit-report/index.html?_calendar=FIVEDAY&amp;_index=3&amp;_query=Rk1BX0VWQUxfRUJJVERBKCdMVE0nLCcwJywnLTEwJywnQ1knLCdQT1JUQUdHJywnTUVBTlInKTs=&amp;_ticker=FI1305US&amp;display_string=audit&amp;HEIGHT=800&amp;WIDTH=1200&amp;WINDOW=POPUP" xr:uid="{DFBB857E-6E7B-D44E-ADDB-909B0BC22031}"/>
    <hyperlink ref="F18" r:id="rId93" display="https://my.apps.factset.com/cpe-built-apps-server/fma-audit-report/index.html?_calendar=FIVEDAY&amp;_index=4&amp;_query=Rk1BX0VWQUxfRUJJVERBKCdMVE0nLCcwJywnLTEwJywnQ1knLCdQT1JUQUdHJywnTUVBTlInKTs=&amp;_ticker=FI1305US&amp;display_string=audit&amp;HEIGHT=800&amp;WIDTH=1200&amp;WINDOW=POPUP" xr:uid="{E6E75502-6EBA-0348-9A0D-E52F236DC6C3}"/>
    <hyperlink ref="G18" r:id="rId94" display="https://my.apps.factset.com/cpe-built-apps-server/fma-audit-report/index.html?_calendar=FIVEDAY&amp;_index=5&amp;_query=Rk1BX0VWQUxfRUJJVERBKCdMVE0nLCcwJywnLTEwJywnQ1knLCdQT1JUQUdHJywnTUVBTlInKTs=&amp;_ticker=FI1305US&amp;display_string=audit&amp;HEIGHT=800&amp;WIDTH=1200&amp;WINDOW=POPUP" xr:uid="{D61DC497-6D0C-5045-9B85-A59B87C94F49}"/>
    <hyperlink ref="H18" r:id="rId95" display="https://my.apps.factset.com/cpe-built-apps-server/fma-audit-report/index.html?_calendar=FIVEDAY&amp;_index=6&amp;_query=Rk1BX0VWQUxfRUJJVERBKCdMVE0nLCcwJywnLTEwJywnQ1knLCdQT1JUQUdHJywnTUVBTlInKTs=&amp;_ticker=FI1305US&amp;display_string=audit&amp;HEIGHT=800&amp;WIDTH=1200&amp;WINDOW=POPUP" xr:uid="{62A32068-528E-904F-A15B-CD796A53A3B1}"/>
    <hyperlink ref="I18" r:id="rId96" display="https://my.apps.factset.com/cpe-built-apps-server/fma-audit-report/index.html?_calendar=FIVEDAY&amp;_index=7&amp;_query=Rk1BX0VWQUxfRUJJVERBKCdMVE0nLCcwJywnLTEwJywnQ1knLCdQT1JUQUdHJywnTUVBTlInKTs=&amp;_ticker=FI1305US&amp;display_string=audit&amp;HEIGHT=800&amp;WIDTH=1200&amp;WINDOW=POPUP" xr:uid="{AE310DC0-7980-4049-9630-D5A85117B6D9}"/>
    <hyperlink ref="J18" r:id="rId97" display="https://my.apps.factset.com/cpe-built-apps-server/fma-audit-report/index.html?_calendar=FIVEDAY&amp;_index=8&amp;_query=Rk1BX0VWQUxfRUJJVERBKCdMVE0nLCcwJywnLTEwJywnQ1knLCdQT1JUQUdHJywnTUVBTlInKTs=&amp;_ticker=FI1305US&amp;display_string=audit&amp;HEIGHT=800&amp;WIDTH=1200&amp;WINDOW=POPUP" xr:uid="{B608F301-7654-484D-8BFF-658F7119EE43}"/>
    <hyperlink ref="K18" r:id="rId98" display="https://my.apps.factset.com/cpe-built-apps-server/fma-audit-report/index.html?_calendar=FIVEDAY&amp;_index=9&amp;_query=Rk1BX0VWQUxfRUJJVERBKCdMVE0nLCcwJywnLTEwJywnQ1knLCdQT1JUQUdHJywnTUVBTlInKTs=&amp;_ticker=FI1305US&amp;display_string=audit&amp;HEIGHT=800&amp;WIDTH=1200&amp;WINDOW=POPUP" xr:uid="{FF9AF68D-DBD6-B642-A2B5-641D2772F901}"/>
    <hyperlink ref="L18" r:id="rId99" display="https://my.apps.factset.com/cpe-built-apps-server/fma-audit-report/index.html?_calendar=FIVEDAY&amp;_index=10&amp;_query=Rk1BX0VWQUxfRUJJVERBKCdMVE0nLCcwJywnLTEwJywnQ1knLCdQT1JUQUdHJywnTUVBTlInKTs=&amp;_ticker=FI1305US&amp;display_string=audit&amp;HEIGHT=800&amp;WIDTH=1200&amp;WINDOW=POPUP" xr:uid="{15A59939-ECC1-1B4B-8D1D-781FE2121C6B}"/>
    <hyperlink ref="B19" r:id="rId100" display="https://my.apps.factset.com/cpe-built-apps-server/fma-audit-report/index.html?_calendar=FIVEDAY&amp;_index=0&amp;_query=Rk1BX0VWQUxfU0FMRVMoJ0xUTScsJzAnLCctMTAnLCdDWScsJ1BPUlRBR0cnLCdNRUFOUicpOw==&amp;_ticker=FI1305US&amp;display_string=audit&amp;HEIGHT=800&amp;WIDTH=1200&amp;WINDOW=POPUP" xr:uid="{3CF65312-D26B-9A43-BCB0-60C719CC11A1}"/>
    <hyperlink ref="C19" r:id="rId101" display="https://my.apps.factset.com/cpe-built-apps-server/fma-audit-report/index.html?_calendar=FIVEDAY&amp;_index=1&amp;_query=Rk1BX0VWQUxfU0FMRVMoJ0xUTScsJzAnLCctMTAnLCdDWScsJ1BPUlRBR0cnLCdNRUFOUicpOw==&amp;_ticker=FI1305US&amp;display_string=audit&amp;HEIGHT=800&amp;WIDTH=1200&amp;WINDOW=POPUP" xr:uid="{31AE3ACA-74D5-D045-81F6-7C328D49739F}"/>
    <hyperlink ref="D19" r:id="rId102" display="https://my.apps.factset.com/cpe-built-apps-server/fma-audit-report/index.html?_calendar=FIVEDAY&amp;_index=2&amp;_query=Rk1BX0VWQUxfU0FMRVMoJ0xUTScsJzAnLCctMTAnLCdDWScsJ1BPUlRBR0cnLCdNRUFOUicpOw==&amp;_ticker=FI1305US&amp;display_string=audit&amp;HEIGHT=800&amp;WIDTH=1200&amp;WINDOW=POPUP" xr:uid="{05DD1B79-7D14-DF43-AD37-5A7414D31A47}"/>
    <hyperlink ref="E19" r:id="rId103" display="https://my.apps.factset.com/cpe-built-apps-server/fma-audit-report/index.html?_calendar=FIVEDAY&amp;_index=3&amp;_query=Rk1BX0VWQUxfU0FMRVMoJ0xUTScsJzAnLCctMTAnLCdDWScsJ1BPUlRBR0cnLCdNRUFOUicpOw==&amp;_ticker=FI1305US&amp;display_string=audit&amp;HEIGHT=800&amp;WIDTH=1200&amp;WINDOW=POPUP" xr:uid="{26574A60-1F26-E64E-8920-7BF7D91E049C}"/>
    <hyperlink ref="F19" r:id="rId104" display="https://my.apps.factset.com/cpe-built-apps-server/fma-audit-report/index.html?_calendar=FIVEDAY&amp;_index=4&amp;_query=Rk1BX0VWQUxfU0FMRVMoJ0xUTScsJzAnLCctMTAnLCdDWScsJ1BPUlRBR0cnLCdNRUFOUicpOw==&amp;_ticker=FI1305US&amp;display_string=audit&amp;HEIGHT=800&amp;WIDTH=1200&amp;WINDOW=POPUP" xr:uid="{8DAF0FD2-59F1-344F-B6BF-4EDACC765161}"/>
    <hyperlink ref="G19" r:id="rId105" display="https://my.apps.factset.com/cpe-built-apps-server/fma-audit-report/index.html?_calendar=FIVEDAY&amp;_index=5&amp;_query=Rk1BX0VWQUxfU0FMRVMoJ0xUTScsJzAnLCctMTAnLCdDWScsJ1BPUlRBR0cnLCdNRUFOUicpOw==&amp;_ticker=FI1305US&amp;display_string=audit&amp;HEIGHT=800&amp;WIDTH=1200&amp;WINDOW=POPUP" xr:uid="{ABDDA67C-816A-5145-9023-B201E27A6711}"/>
    <hyperlink ref="H19" r:id="rId106" display="https://my.apps.factset.com/cpe-built-apps-server/fma-audit-report/index.html?_calendar=FIVEDAY&amp;_index=6&amp;_query=Rk1BX0VWQUxfU0FMRVMoJ0xUTScsJzAnLCctMTAnLCdDWScsJ1BPUlRBR0cnLCdNRUFOUicpOw==&amp;_ticker=FI1305US&amp;display_string=audit&amp;HEIGHT=800&amp;WIDTH=1200&amp;WINDOW=POPUP" xr:uid="{FCCCEBAE-32F5-BE4C-9B8B-5FAF087295D9}"/>
    <hyperlink ref="I19" r:id="rId107" display="https://my.apps.factset.com/cpe-built-apps-server/fma-audit-report/index.html?_calendar=FIVEDAY&amp;_index=7&amp;_query=Rk1BX0VWQUxfU0FMRVMoJ0xUTScsJzAnLCctMTAnLCdDWScsJ1BPUlRBR0cnLCdNRUFOUicpOw==&amp;_ticker=FI1305US&amp;display_string=audit&amp;HEIGHT=800&amp;WIDTH=1200&amp;WINDOW=POPUP" xr:uid="{0BFBF4D0-2040-A743-B542-08BC59697598}"/>
    <hyperlink ref="J19" r:id="rId108" display="https://my.apps.factset.com/cpe-built-apps-server/fma-audit-report/index.html?_calendar=FIVEDAY&amp;_index=8&amp;_query=Rk1BX0VWQUxfU0FMRVMoJ0xUTScsJzAnLCctMTAnLCdDWScsJ1BPUlRBR0cnLCdNRUFOUicpOw==&amp;_ticker=FI1305US&amp;display_string=audit&amp;HEIGHT=800&amp;WIDTH=1200&amp;WINDOW=POPUP" xr:uid="{F8DEF02C-B80F-944E-A4D3-82DB8E2B02BF}"/>
    <hyperlink ref="K19" r:id="rId109" display="https://my.apps.factset.com/cpe-built-apps-server/fma-audit-report/index.html?_calendar=FIVEDAY&amp;_index=9&amp;_query=Rk1BX0VWQUxfU0FMRVMoJ0xUTScsJzAnLCctMTAnLCdDWScsJ1BPUlRBR0cnLCdNRUFOUicpOw==&amp;_ticker=FI1305US&amp;display_string=audit&amp;HEIGHT=800&amp;WIDTH=1200&amp;WINDOW=POPUP" xr:uid="{6A8E1F91-7C92-A248-8446-5A3E4C7538C4}"/>
    <hyperlink ref="L19" r:id="rId110" display="https://my.apps.factset.com/cpe-built-apps-server/fma-audit-report/index.html?_calendar=FIVEDAY&amp;_index=10&amp;_query=Rk1BX0VWQUxfU0FMRVMoJ0xUTScsJzAnLCctMTAnLCdDWScsJ1BPUlRBR0cnLCdNRUFOUicpOw==&amp;_ticker=FI1305US&amp;display_string=audit&amp;HEIGHT=800&amp;WIDTH=1200&amp;WINDOW=POPUP" xr:uid="{098AFC1D-6342-3843-8468-F6A72FC263FB}"/>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CED0A-2BF8-144F-9F1B-2100E41A6261}">
  <sheetPr>
    <outlinePr summaryBelow="0" summaryRight="0"/>
  </sheetPr>
  <dimension ref="A1:L19"/>
  <sheetViews>
    <sheetView workbookViewId="0">
      <selection activeCell="B12" sqref="B12"/>
    </sheetView>
  </sheetViews>
  <sheetFormatPr defaultColWidth="9.125" defaultRowHeight="14.95" customHeight="1" x14ac:dyDescent="0.2"/>
  <cols>
    <col min="1" max="1" width="33.875" customWidth="1"/>
    <col min="2" max="12" width="8" customWidth="1"/>
  </cols>
  <sheetData>
    <row r="1" spans="1:12" ht="14.95" customHeight="1" x14ac:dyDescent="0.25">
      <c r="A1" s="33" t="s">
        <v>231</v>
      </c>
    </row>
    <row r="2" spans="1:12" ht="14.95" customHeight="1" x14ac:dyDescent="0.2">
      <c r="A2" t="s">
        <v>230</v>
      </c>
    </row>
    <row r="3" spans="1:12" ht="14.95" customHeight="1" x14ac:dyDescent="0.2">
      <c r="A3" s="35" t="s">
        <v>229</v>
      </c>
    </row>
    <row r="4" spans="1:12" ht="14.95" customHeight="1" x14ac:dyDescent="0.2">
      <c r="A4" s="34"/>
      <c r="B4" s="34"/>
      <c r="C4" s="34"/>
      <c r="D4" s="34"/>
      <c r="E4" s="34"/>
      <c r="F4" s="34"/>
      <c r="G4" s="34"/>
      <c r="H4" s="34"/>
      <c r="I4" s="34"/>
      <c r="J4" s="34"/>
      <c r="K4" s="34"/>
      <c r="L4" s="34"/>
    </row>
    <row r="6" spans="1:12" ht="14.95" customHeight="1" x14ac:dyDescent="0.25">
      <c r="A6" s="1" t="s">
        <v>228</v>
      </c>
      <c r="B6" s="1"/>
      <c r="C6" s="1"/>
      <c r="D6" s="1"/>
      <c r="E6" s="1"/>
      <c r="F6" s="1"/>
      <c r="G6" s="1"/>
      <c r="H6" s="1"/>
      <c r="I6" s="1"/>
      <c r="J6" s="1"/>
      <c r="K6" s="1"/>
      <c r="L6" s="1"/>
    </row>
    <row r="7" spans="1:12" ht="14.95" customHeight="1" x14ac:dyDescent="0.25">
      <c r="A7" s="1" t="s">
        <v>227</v>
      </c>
      <c r="B7" s="1"/>
      <c r="C7" s="1"/>
      <c r="D7" s="1"/>
      <c r="E7" s="1"/>
      <c r="F7" s="1"/>
      <c r="G7" s="1"/>
      <c r="H7" s="1"/>
      <c r="I7" s="1"/>
      <c r="J7" s="1"/>
      <c r="K7" s="1"/>
      <c r="L7" s="1"/>
    </row>
    <row r="8" spans="1:12" ht="14.95" customHeight="1" x14ac:dyDescent="0.25">
      <c r="A8" s="1" t="s">
        <v>226</v>
      </c>
      <c r="B8" s="1"/>
      <c r="C8" s="1"/>
      <c r="D8" s="1"/>
      <c r="E8" s="1"/>
      <c r="F8" s="1"/>
      <c r="G8" s="1"/>
      <c r="H8" s="1"/>
      <c r="I8" s="1"/>
      <c r="J8" s="1"/>
      <c r="K8" s="1"/>
      <c r="L8" s="1"/>
    </row>
    <row r="9" spans="1:12" ht="14.95" customHeight="1" x14ac:dyDescent="0.25">
      <c r="A9" s="1"/>
      <c r="B9" s="1" t="s">
        <v>225</v>
      </c>
      <c r="C9" s="1" t="s">
        <v>224</v>
      </c>
      <c r="D9" s="1" t="s">
        <v>223</v>
      </c>
      <c r="E9" s="1" t="s">
        <v>222</v>
      </c>
      <c r="F9" s="1" t="s">
        <v>221</v>
      </c>
      <c r="G9" s="1" t="s">
        <v>220</v>
      </c>
      <c r="H9" s="1" t="s">
        <v>219</v>
      </c>
      <c r="I9" s="1" t="s">
        <v>218</v>
      </c>
      <c r="J9" s="1" t="s">
        <v>217</v>
      </c>
      <c r="K9" s="1" t="s">
        <v>216</v>
      </c>
      <c r="L9" s="1" t="s">
        <v>215</v>
      </c>
    </row>
    <row r="10" spans="1:12" ht="14.95" customHeight="1" x14ac:dyDescent="0.2">
      <c r="A10" s="25" t="s">
        <v>262</v>
      </c>
      <c r="B10" s="39">
        <v>46.742305999999999</v>
      </c>
      <c r="C10" s="39">
        <v>48.892814000000001</v>
      </c>
      <c r="D10" s="39">
        <v>49.966743999999998</v>
      </c>
      <c r="E10" s="39">
        <v>48.709473000000003</v>
      </c>
      <c r="F10" s="39">
        <v>51.265661999999999</v>
      </c>
      <c r="G10" s="39">
        <v>54.776031000000003</v>
      </c>
      <c r="H10" s="39">
        <v>50.561034999999997</v>
      </c>
      <c r="I10" s="39">
        <v>48.215668000000001</v>
      </c>
      <c r="J10" s="39">
        <v>51.250107</v>
      </c>
      <c r="K10" s="39">
        <v>50.868619000000002</v>
      </c>
      <c r="L10" s="39">
        <v>49.265318000000001</v>
      </c>
    </row>
    <row r="11" spans="1:12" ht="14.95" customHeight="1" x14ac:dyDescent="0.2">
      <c r="A11" s="23" t="s">
        <v>261</v>
      </c>
      <c r="B11" s="41">
        <v>19.755102999999998</v>
      </c>
      <c r="C11" s="41">
        <v>24.464454</v>
      </c>
      <c r="D11" s="41">
        <v>25.710163999999999</v>
      </c>
      <c r="E11" s="41">
        <v>22.414798999999999</v>
      </c>
      <c r="F11" s="41">
        <v>24.093367000000001</v>
      </c>
      <c r="G11" s="41">
        <v>29.697355000000002</v>
      </c>
      <c r="H11" s="41">
        <v>22.618286999999999</v>
      </c>
      <c r="I11" s="41">
        <v>17.070526000000001</v>
      </c>
      <c r="J11" s="41">
        <v>19.915323000000001</v>
      </c>
      <c r="K11" s="41">
        <v>19.570015000000001</v>
      </c>
      <c r="L11" s="41">
        <v>15.585851</v>
      </c>
    </row>
    <row r="12" spans="1:12" ht="14.95" customHeight="1" x14ac:dyDescent="0.2">
      <c r="A12" s="25" t="s">
        <v>260</v>
      </c>
      <c r="B12" s="39">
        <v>17.188423</v>
      </c>
      <c r="C12" s="39">
        <v>21.697255999999999</v>
      </c>
      <c r="D12" s="39">
        <v>23.486079</v>
      </c>
      <c r="E12" s="39">
        <v>20.077068000000001</v>
      </c>
      <c r="F12" s="39">
        <v>20.643940000000001</v>
      </c>
      <c r="G12" s="39">
        <v>27.664266000000001</v>
      </c>
      <c r="H12" s="39">
        <v>18.714352000000002</v>
      </c>
      <c r="I12" s="39">
        <v>12.237721000000001</v>
      </c>
      <c r="J12" s="39">
        <v>14.868873000000001</v>
      </c>
      <c r="K12" s="39">
        <v>14.474990999999999</v>
      </c>
      <c r="L12" s="39">
        <v>12.125593</v>
      </c>
    </row>
    <row r="13" spans="1:12" ht="14.95" customHeight="1" x14ac:dyDescent="0.2">
      <c r="A13" s="23" t="s">
        <v>259</v>
      </c>
      <c r="B13" s="41">
        <v>19.755102999999998</v>
      </c>
      <c r="C13" s="41">
        <v>24.464454</v>
      </c>
      <c r="D13" s="41">
        <v>25.710163999999999</v>
      </c>
      <c r="E13" s="41">
        <v>22.414798999999999</v>
      </c>
      <c r="F13" s="41">
        <v>24.093367000000001</v>
      </c>
      <c r="G13" s="41">
        <v>29.698477</v>
      </c>
      <c r="H13" s="41">
        <v>22.616344999999999</v>
      </c>
      <c r="I13" s="41">
        <v>17.070526000000001</v>
      </c>
      <c r="J13" s="41">
        <v>19.915323000000001</v>
      </c>
      <c r="K13" s="41">
        <v>19.570015000000001</v>
      </c>
      <c r="L13" s="41">
        <v>15.585851</v>
      </c>
    </row>
    <row r="14" spans="1:12" ht="14.95" customHeight="1" x14ac:dyDescent="0.2">
      <c r="A14" s="25" t="s">
        <v>258</v>
      </c>
      <c r="B14" s="39">
        <v>31.998370000000001</v>
      </c>
      <c r="C14" s="39">
        <v>36.195813999999999</v>
      </c>
      <c r="D14" s="39">
        <v>38.948650999999998</v>
      </c>
      <c r="E14" s="39">
        <v>37.965499999999999</v>
      </c>
      <c r="F14" s="39">
        <v>39.066868999999997</v>
      </c>
      <c r="G14" s="39">
        <v>41.724044999999997</v>
      </c>
      <c r="H14" s="39">
        <v>35.913882999999998</v>
      </c>
      <c r="I14" s="39">
        <v>30.486674000000001</v>
      </c>
      <c r="J14" s="39">
        <v>31.725089000000001</v>
      </c>
      <c r="K14" s="39">
        <v>30.126377999999999</v>
      </c>
      <c r="L14" s="39">
        <v>26.752980999999998</v>
      </c>
    </row>
    <row r="15" spans="1:12" ht="14.95" customHeight="1" x14ac:dyDescent="0.2">
      <c r="A15" s="23" t="s">
        <v>257</v>
      </c>
      <c r="B15" s="41">
        <v>7.6767110000000001</v>
      </c>
      <c r="C15" s="41">
        <v>11.026258</v>
      </c>
      <c r="D15" s="41">
        <v>11.284977</v>
      </c>
      <c r="E15" s="41">
        <v>9.7536260000000006</v>
      </c>
      <c r="F15" s="41">
        <v>10.306754</v>
      </c>
      <c r="G15" s="41">
        <v>15.659624000000001</v>
      </c>
      <c r="H15" s="41">
        <v>9.634207</v>
      </c>
      <c r="I15" s="41">
        <v>5.9958400000000003</v>
      </c>
      <c r="J15" s="41">
        <v>8.6381479999999993</v>
      </c>
      <c r="K15" s="41">
        <v>9.4377940000000002</v>
      </c>
      <c r="L15" s="41">
        <v>7.5531889999999997</v>
      </c>
    </row>
    <row r="16" spans="1:12" ht="14.95" customHeight="1" x14ac:dyDescent="0.2">
      <c r="A16" s="25" t="s">
        <v>256</v>
      </c>
      <c r="B16" s="39">
        <v>13.605178</v>
      </c>
      <c r="C16" s="39">
        <v>19.859145999999999</v>
      </c>
      <c r="D16" s="39">
        <v>20.524407</v>
      </c>
      <c r="E16" s="39">
        <v>19.165244000000001</v>
      </c>
      <c r="F16" s="39">
        <v>19.211807</v>
      </c>
      <c r="G16" s="39">
        <v>27.632090999999999</v>
      </c>
      <c r="H16" s="39">
        <v>18.373797</v>
      </c>
      <c r="I16" s="39">
        <v>11.698532999999999</v>
      </c>
      <c r="J16" s="39">
        <v>16.108694</v>
      </c>
      <c r="K16" s="39">
        <v>17.394817</v>
      </c>
      <c r="L16" s="39">
        <v>13.086065</v>
      </c>
    </row>
    <row r="17" spans="1:12" ht="14.95" customHeight="1" x14ac:dyDescent="0.2">
      <c r="A17" s="23" t="s">
        <v>255</v>
      </c>
      <c r="B17" s="41">
        <v>9.6290049999999994</v>
      </c>
      <c r="C17" s="41">
        <v>13.974147</v>
      </c>
      <c r="D17" s="41">
        <v>14.060362</v>
      </c>
      <c r="E17" s="41">
        <v>12.305172000000001</v>
      </c>
      <c r="F17" s="41">
        <v>13.230157999999999</v>
      </c>
      <c r="G17" s="41">
        <v>19.647576000000001</v>
      </c>
      <c r="H17" s="41">
        <v>12.325661999999999</v>
      </c>
      <c r="I17" s="41">
        <v>7.8191959999999998</v>
      </c>
      <c r="J17" s="41">
        <v>11.255713999999999</v>
      </c>
      <c r="K17" s="41">
        <v>12.46411</v>
      </c>
      <c r="L17" s="41">
        <v>10.00005</v>
      </c>
    </row>
    <row r="18" spans="1:12" ht="14.95" customHeight="1" x14ac:dyDescent="0.2">
      <c r="A18" s="25" t="s">
        <v>254</v>
      </c>
      <c r="B18" s="39">
        <v>13.235571</v>
      </c>
      <c r="C18" s="39">
        <v>11.875617999999999</v>
      </c>
      <c r="D18" s="39">
        <v>24.161165</v>
      </c>
      <c r="E18" s="39">
        <v>24.125301</v>
      </c>
      <c r="F18" s="39">
        <v>23.409663999999999</v>
      </c>
      <c r="G18" s="39">
        <v>24.784253</v>
      </c>
      <c r="H18" s="39">
        <v>20.330608000000002</v>
      </c>
      <c r="I18" s="39">
        <v>15.152539000000001</v>
      </c>
      <c r="J18" s="39">
        <v>14.732096</v>
      </c>
      <c r="K18" s="39">
        <v>15.056272999999999</v>
      </c>
      <c r="L18" s="39">
        <v>15.757344</v>
      </c>
    </row>
    <row r="19" spans="1:12" ht="14.95" customHeight="1" x14ac:dyDescent="0.2">
      <c r="A19" s="32"/>
      <c r="B19">
        <f>B17/100</f>
        <v>9.6290049999999988E-2</v>
      </c>
      <c r="C19">
        <f t="shared" ref="C19:L19" si="0">C17/100</f>
        <v>0.13974147000000001</v>
      </c>
      <c r="D19">
        <f t="shared" si="0"/>
        <v>0.14060361999999998</v>
      </c>
      <c r="E19">
        <f t="shared" si="0"/>
        <v>0.12305172</v>
      </c>
      <c r="F19">
        <f t="shared" si="0"/>
        <v>0.13230158</v>
      </c>
      <c r="G19">
        <f t="shared" si="0"/>
        <v>0.19647576</v>
      </c>
      <c r="H19">
        <f t="shared" si="0"/>
        <v>0.12325662</v>
      </c>
      <c r="I19">
        <f t="shared" si="0"/>
        <v>7.8191960000000005E-2</v>
      </c>
      <c r="J19">
        <f t="shared" si="0"/>
        <v>0.11255714</v>
      </c>
      <c r="K19">
        <f t="shared" si="0"/>
        <v>0.1246411</v>
      </c>
      <c r="L19">
        <f t="shared" si="0"/>
        <v>0.10000049999999999</v>
      </c>
    </row>
  </sheetData>
  <hyperlinks>
    <hyperlink ref="B10" r:id="rId1" display="https://my.apps.factset.com/cpe-built-apps-server/fma-audit-report/index.html?_calendar=FIVEDAY&amp;_index=0&amp;_query=Rk1BX0dST1NTX01BUkdJTignTFRNJywnMCcsJy0xMCcsJ0NZJywnTE9DQUwnLCdQT1JUQUdHJywnTUVBTlInKTs=&amp;_ticker=FI1305US&amp;display_string=audit&amp;HEIGHT=800&amp;WIDTH=1200&amp;WINDOW=POPUP" xr:uid="{CDD7EE8A-DD84-034A-9A76-636E9068DEF0}"/>
    <hyperlink ref="C10" r:id="rId2" display="https://my.apps.factset.com/cpe-built-apps-server/fma-audit-report/index.html?_calendar=FIVEDAY&amp;_index=1&amp;_query=Rk1BX0dST1NTX01BUkdJTignTFRNJywnMCcsJy0xMCcsJ0NZJywnTE9DQUwnLCdQT1JUQUdHJywnTUVBTlInKTs=&amp;_ticker=FI1305US&amp;display_string=audit&amp;HEIGHT=800&amp;WIDTH=1200&amp;WINDOW=POPUP" xr:uid="{09CBADB8-FB3F-B446-983F-F356D3E741CA}"/>
    <hyperlink ref="D10" r:id="rId3" display="https://my.apps.factset.com/cpe-built-apps-server/fma-audit-report/index.html?_calendar=FIVEDAY&amp;_index=2&amp;_query=Rk1BX0dST1NTX01BUkdJTignTFRNJywnMCcsJy0xMCcsJ0NZJywnTE9DQUwnLCdQT1JUQUdHJywnTUVBTlInKTs=&amp;_ticker=FI1305US&amp;display_string=audit&amp;HEIGHT=800&amp;WIDTH=1200&amp;WINDOW=POPUP" xr:uid="{531D1916-702C-4E41-9991-936E438C26D6}"/>
    <hyperlink ref="E10" r:id="rId4" display="https://my.apps.factset.com/cpe-built-apps-server/fma-audit-report/index.html?_calendar=FIVEDAY&amp;_index=3&amp;_query=Rk1BX0dST1NTX01BUkdJTignTFRNJywnMCcsJy0xMCcsJ0NZJywnTE9DQUwnLCdQT1JUQUdHJywnTUVBTlInKTs=&amp;_ticker=FI1305US&amp;display_string=audit&amp;HEIGHT=800&amp;WIDTH=1200&amp;WINDOW=POPUP" xr:uid="{A88F4352-4D14-B143-8599-03FFCE2B11F1}"/>
    <hyperlink ref="F10" r:id="rId5" display="https://my.apps.factset.com/cpe-built-apps-server/fma-audit-report/index.html?_calendar=FIVEDAY&amp;_index=4&amp;_query=Rk1BX0dST1NTX01BUkdJTignTFRNJywnMCcsJy0xMCcsJ0NZJywnTE9DQUwnLCdQT1JUQUdHJywnTUVBTlInKTs=&amp;_ticker=FI1305US&amp;display_string=audit&amp;HEIGHT=800&amp;WIDTH=1200&amp;WINDOW=POPUP" xr:uid="{968DEC27-3885-BB41-8944-60998DC7111E}"/>
    <hyperlink ref="G10" r:id="rId6" display="https://my.apps.factset.com/cpe-built-apps-server/fma-audit-report/index.html?_calendar=FIVEDAY&amp;_index=5&amp;_query=Rk1BX0dST1NTX01BUkdJTignTFRNJywnMCcsJy0xMCcsJ0NZJywnTE9DQUwnLCdQT1JUQUdHJywnTUVBTlInKTs=&amp;_ticker=FI1305US&amp;display_string=audit&amp;HEIGHT=800&amp;WIDTH=1200&amp;WINDOW=POPUP" xr:uid="{71D04F9C-CB26-DA46-BF5E-3FC9CAB6A9E7}"/>
    <hyperlink ref="H10" r:id="rId7" display="https://my.apps.factset.com/cpe-built-apps-server/fma-audit-report/index.html?_calendar=FIVEDAY&amp;_index=6&amp;_query=Rk1BX0dST1NTX01BUkdJTignTFRNJywnMCcsJy0xMCcsJ0NZJywnTE9DQUwnLCdQT1JUQUdHJywnTUVBTlInKTs=&amp;_ticker=FI1305US&amp;display_string=audit&amp;HEIGHT=800&amp;WIDTH=1200&amp;WINDOW=POPUP" xr:uid="{5FF0E665-C3AD-EB41-8156-EDF807C9A99E}"/>
    <hyperlink ref="I10" r:id="rId8" display="https://my.apps.factset.com/cpe-built-apps-server/fma-audit-report/index.html?_calendar=FIVEDAY&amp;_index=7&amp;_query=Rk1BX0dST1NTX01BUkdJTignTFRNJywnMCcsJy0xMCcsJ0NZJywnTE9DQUwnLCdQT1JUQUdHJywnTUVBTlInKTs=&amp;_ticker=FI1305US&amp;display_string=audit&amp;HEIGHT=800&amp;WIDTH=1200&amp;WINDOW=POPUP" xr:uid="{58C62DA9-A23F-664B-8DBD-37A6B1147AC0}"/>
    <hyperlink ref="J10" r:id="rId9" display="https://my.apps.factset.com/cpe-built-apps-server/fma-audit-report/index.html?_calendar=FIVEDAY&amp;_index=8&amp;_query=Rk1BX0dST1NTX01BUkdJTignTFRNJywnMCcsJy0xMCcsJ0NZJywnTE9DQUwnLCdQT1JUQUdHJywnTUVBTlInKTs=&amp;_ticker=FI1305US&amp;display_string=audit&amp;HEIGHT=800&amp;WIDTH=1200&amp;WINDOW=POPUP" xr:uid="{B53421C0-FF73-944D-8ED3-0F3645D05BB6}"/>
    <hyperlink ref="K10" r:id="rId10" display="https://my.apps.factset.com/cpe-built-apps-server/fma-audit-report/index.html?_calendar=FIVEDAY&amp;_index=9&amp;_query=Rk1BX0dST1NTX01BUkdJTignTFRNJywnMCcsJy0xMCcsJ0NZJywnTE9DQUwnLCdQT1JUQUdHJywnTUVBTlInKTs=&amp;_ticker=FI1305US&amp;display_string=audit&amp;HEIGHT=800&amp;WIDTH=1200&amp;WINDOW=POPUP" xr:uid="{F6211414-FB93-1343-88F5-6435CC83F156}"/>
    <hyperlink ref="L10" r:id="rId11" display="https://my.apps.factset.com/cpe-built-apps-server/fma-audit-report/index.html?_calendar=FIVEDAY&amp;_index=10&amp;_query=Rk1BX0dST1NTX01BUkdJTignTFRNJywnMCcsJy0xMCcsJ0NZJywnTE9DQUwnLCdQT1JUQUdHJywnTUVBTlInKTs=&amp;_ticker=FI1305US&amp;display_string=audit&amp;HEIGHT=800&amp;WIDTH=1200&amp;WINDOW=POPUP" xr:uid="{892A3345-EBFB-0B4C-8F78-BD0F5C79806C}"/>
    <hyperlink ref="B11" r:id="rId12" display="https://my.apps.factset.com/cpe-built-apps-server/fma-audit-report/index.html?_calendar=FIVEDAY&amp;_index=0&amp;_query=Rk1BX09QRVJfSU5DX1NBTEVTKCdMVE0nLCcwJywnLTEwJywnQ1knLCdQT1JUQUdHJyk7&amp;_ticker=FI1305US&amp;display_string=audit&amp;HEIGHT=800&amp;WIDTH=1200&amp;WINDOW=POPUP" xr:uid="{F9127148-5340-D244-B3ED-D65F489B7790}"/>
    <hyperlink ref="C11" r:id="rId13" display="https://my.apps.factset.com/cpe-built-apps-server/fma-audit-report/index.html?_calendar=FIVEDAY&amp;_index=1&amp;_query=Rk1BX09QRVJfSU5DX1NBTEVTKCdMVE0nLCcwJywnLTEwJywnQ1knLCdQT1JUQUdHJyk7&amp;_ticker=FI1305US&amp;display_string=audit&amp;HEIGHT=800&amp;WIDTH=1200&amp;WINDOW=POPUP" xr:uid="{29CF6276-6DDF-994D-8BBE-615B8DFE0EA0}"/>
    <hyperlink ref="D11" r:id="rId14" display="https://my.apps.factset.com/cpe-built-apps-server/fma-audit-report/index.html?_calendar=FIVEDAY&amp;_index=2&amp;_query=Rk1BX09QRVJfSU5DX1NBTEVTKCdMVE0nLCcwJywnLTEwJywnQ1knLCdQT1JUQUdHJyk7&amp;_ticker=FI1305US&amp;display_string=audit&amp;HEIGHT=800&amp;WIDTH=1200&amp;WINDOW=POPUP" xr:uid="{20236390-BE22-BE4B-ACCD-E576455392A4}"/>
    <hyperlink ref="E11" r:id="rId15" display="https://my.apps.factset.com/cpe-built-apps-server/fma-audit-report/index.html?_calendar=FIVEDAY&amp;_index=3&amp;_query=Rk1BX09QRVJfSU5DX1NBTEVTKCdMVE0nLCcwJywnLTEwJywnQ1knLCdQT1JUQUdHJyk7&amp;_ticker=FI1305US&amp;display_string=audit&amp;HEIGHT=800&amp;WIDTH=1200&amp;WINDOW=POPUP" xr:uid="{D7532C45-13D1-DB43-9A24-448AEACC3902}"/>
    <hyperlink ref="F11" r:id="rId16" display="https://my.apps.factset.com/cpe-built-apps-server/fma-audit-report/index.html?_calendar=FIVEDAY&amp;_index=4&amp;_query=Rk1BX09QRVJfSU5DX1NBTEVTKCdMVE0nLCcwJywnLTEwJywnQ1knLCdQT1JUQUdHJyk7&amp;_ticker=FI1305US&amp;display_string=audit&amp;HEIGHT=800&amp;WIDTH=1200&amp;WINDOW=POPUP" xr:uid="{D2F3D36B-AA03-FD47-869A-CBE9841DCC11}"/>
    <hyperlink ref="G11" r:id="rId17" display="https://my.apps.factset.com/cpe-built-apps-server/fma-audit-report/index.html?_calendar=FIVEDAY&amp;_index=5&amp;_query=Rk1BX09QRVJfSU5DX1NBTEVTKCdMVE0nLCcwJywnLTEwJywnQ1knLCdQT1JUQUdHJyk7&amp;_ticker=FI1305US&amp;display_string=audit&amp;HEIGHT=800&amp;WIDTH=1200&amp;WINDOW=POPUP" xr:uid="{5FEFE51A-9944-8949-B68E-7278BEA43DC2}"/>
    <hyperlink ref="H11" r:id="rId18" display="https://my.apps.factset.com/cpe-built-apps-server/fma-audit-report/index.html?_calendar=FIVEDAY&amp;_index=6&amp;_query=Rk1BX09QRVJfSU5DX1NBTEVTKCdMVE0nLCcwJywnLTEwJywnQ1knLCdQT1JUQUdHJyk7&amp;_ticker=FI1305US&amp;display_string=audit&amp;HEIGHT=800&amp;WIDTH=1200&amp;WINDOW=POPUP" xr:uid="{AD70D80A-2629-3543-83C7-B90C8C57F2F8}"/>
    <hyperlink ref="I11" r:id="rId19" display="https://my.apps.factset.com/cpe-built-apps-server/fma-audit-report/index.html?_calendar=FIVEDAY&amp;_index=7&amp;_query=Rk1BX09QRVJfSU5DX1NBTEVTKCdMVE0nLCcwJywnLTEwJywnQ1knLCdQT1JUQUdHJyk7&amp;_ticker=FI1305US&amp;display_string=audit&amp;HEIGHT=800&amp;WIDTH=1200&amp;WINDOW=POPUP" xr:uid="{E32A9A04-4C62-9A4B-BE29-6FF3BFD93378}"/>
    <hyperlink ref="J11" r:id="rId20" display="https://my.apps.factset.com/cpe-built-apps-server/fma-audit-report/index.html?_calendar=FIVEDAY&amp;_index=8&amp;_query=Rk1BX09QRVJfSU5DX1NBTEVTKCdMVE0nLCcwJywnLTEwJywnQ1knLCdQT1JUQUdHJyk7&amp;_ticker=FI1305US&amp;display_string=audit&amp;HEIGHT=800&amp;WIDTH=1200&amp;WINDOW=POPUP" xr:uid="{33E801B8-DC6F-6F4E-AC3F-511FD2FB4F09}"/>
    <hyperlink ref="K11" r:id="rId21" display="https://my.apps.factset.com/cpe-built-apps-server/fma-audit-report/index.html?_calendar=FIVEDAY&amp;_index=9&amp;_query=Rk1BX09QRVJfSU5DX1NBTEVTKCdMVE0nLCcwJywnLTEwJywnQ1knLCdQT1JUQUdHJyk7&amp;_ticker=FI1305US&amp;display_string=audit&amp;HEIGHT=800&amp;WIDTH=1200&amp;WINDOW=POPUP" xr:uid="{4E890E60-180B-9344-91AA-9AAAC4FA4B69}"/>
    <hyperlink ref="L11" r:id="rId22" display="https://my.apps.factset.com/cpe-built-apps-server/fma-audit-report/index.html?_calendar=FIVEDAY&amp;_index=10&amp;_query=Rk1BX09QRVJfSU5DX1NBTEVTKCdMVE0nLCcwJywnLTEwJywnQ1knLCdQT1JUQUdHJyk7&amp;_ticker=FI1305US&amp;display_string=audit&amp;HEIGHT=800&amp;WIDTH=1200&amp;WINDOW=POPUP" xr:uid="{3E8B0D06-BC14-BA4D-939C-0EEE00438269}"/>
    <hyperlink ref="B12" r:id="rId23" display="https://my.apps.factset.com/cpe-built-apps-server/fma-audit-report/index.html?_calendar=FIVEDAY&amp;_index=0&amp;_query=Rk1BX05FVF9NR04oJ0xUTScsJzAnLCctMTAnLCdDWScsJ1BPUlRBR0cnLCdNRUFOUicpOw==&amp;_ticker=FI1305US&amp;display_string=audit&amp;HEIGHT=800&amp;WIDTH=1200&amp;WINDOW=POPUP" xr:uid="{40C1C10B-180E-824A-8D43-4898AB0611BB}"/>
    <hyperlink ref="C12" r:id="rId24" display="https://my.apps.factset.com/cpe-built-apps-server/fma-audit-report/index.html?_calendar=FIVEDAY&amp;_index=1&amp;_query=Rk1BX05FVF9NR04oJ0xUTScsJzAnLCctMTAnLCdDWScsJ1BPUlRBR0cnLCdNRUFOUicpOw==&amp;_ticker=FI1305US&amp;display_string=audit&amp;HEIGHT=800&amp;WIDTH=1200&amp;WINDOW=POPUP" xr:uid="{3DDB5952-79D9-874C-A440-8FE4F838FA55}"/>
    <hyperlink ref="D12" r:id="rId25" display="https://my.apps.factset.com/cpe-built-apps-server/fma-audit-report/index.html?_calendar=FIVEDAY&amp;_index=2&amp;_query=Rk1BX05FVF9NR04oJ0xUTScsJzAnLCctMTAnLCdDWScsJ1BPUlRBR0cnLCdNRUFOUicpOw==&amp;_ticker=FI1305US&amp;display_string=audit&amp;HEIGHT=800&amp;WIDTH=1200&amp;WINDOW=POPUP" xr:uid="{2D8696CD-AD65-7F4C-9E87-D1BBE701E3B1}"/>
    <hyperlink ref="E12" r:id="rId26" display="https://my.apps.factset.com/cpe-built-apps-server/fma-audit-report/index.html?_calendar=FIVEDAY&amp;_index=3&amp;_query=Rk1BX05FVF9NR04oJ0xUTScsJzAnLCctMTAnLCdDWScsJ1BPUlRBR0cnLCdNRUFOUicpOw==&amp;_ticker=FI1305US&amp;display_string=audit&amp;HEIGHT=800&amp;WIDTH=1200&amp;WINDOW=POPUP" xr:uid="{582841D3-1482-BB4D-96CC-355582CBDA8A}"/>
    <hyperlink ref="F12" r:id="rId27" display="https://my.apps.factset.com/cpe-built-apps-server/fma-audit-report/index.html?_calendar=FIVEDAY&amp;_index=4&amp;_query=Rk1BX05FVF9NR04oJ0xUTScsJzAnLCctMTAnLCdDWScsJ1BPUlRBR0cnLCdNRUFOUicpOw==&amp;_ticker=FI1305US&amp;display_string=audit&amp;HEIGHT=800&amp;WIDTH=1200&amp;WINDOW=POPUP" xr:uid="{923B2D0D-B4B0-254E-A09F-35052EBA0388}"/>
    <hyperlink ref="G12" r:id="rId28" display="https://my.apps.factset.com/cpe-built-apps-server/fma-audit-report/index.html?_calendar=FIVEDAY&amp;_index=5&amp;_query=Rk1BX05FVF9NR04oJ0xUTScsJzAnLCctMTAnLCdDWScsJ1BPUlRBR0cnLCdNRUFOUicpOw==&amp;_ticker=FI1305US&amp;display_string=audit&amp;HEIGHT=800&amp;WIDTH=1200&amp;WINDOW=POPUP" xr:uid="{F6C3B394-815C-6F4A-BD79-83AFF5C26D09}"/>
    <hyperlink ref="H12" r:id="rId29" display="https://my.apps.factset.com/cpe-built-apps-server/fma-audit-report/index.html?_calendar=FIVEDAY&amp;_index=6&amp;_query=Rk1BX05FVF9NR04oJ0xUTScsJzAnLCctMTAnLCdDWScsJ1BPUlRBR0cnLCdNRUFOUicpOw==&amp;_ticker=FI1305US&amp;display_string=audit&amp;HEIGHT=800&amp;WIDTH=1200&amp;WINDOW=POPUP" xr:uid="{8F8D2C4D-798D-A749-845B-FE51FDDE568A}"/>
    <hyperlink ref="I12" r:id="rId30" display="https://my.apps.factset.com/cpe-built-apps-server/fma-audit-report/index.html?_calendar=FIVEDAY&amp;_index=7&amp;_query=Rk1BX05FVF9NR04oJ0xUTScsJzAnLCctMTAnLCdDWScsJ1BPUlRBR0cnLCdNRUFOUicpOw==&amp;_ticker=FI1305US&amp;display_string=audit&amp;HEIGHT=800&amp;WIDTH=1200&amp;WINDOW=POPUP" xr:uid="{CE049576-8F75-E048-A05C-273B3B42C57C}"/>
    <hyperlink ref="J12" r:id="rId31" display="https://my.apps.factset.com/cpe-built-apps-server/fma-audit-report/index.html?_calendar=FIVEDAY&amp;_index=8&amp;_query=Rk1BX05FVF9NR04oJ0xUTScsJzAnLCctMTAnLCdDWScsJ1BPUlRBR0cnLCdNRUFOUicpOw==&amp;_ticker=FI1305US&amp;display_string=audit&amp;HEIGHT=800&amp;WIDTH=1200&amp;WINDOW=POPUP" xr:uid="{8DE7AF6A-37A5-F248-9824-809B5262F06C}"/>
    <hyperlink ref="K12" r:id="rId32" display="https://my.apps.factset.com/cpe-built-apps-server/fma-audit-report/index.html?_calendar=FIVEDAY&amp;_index=9&amp;_query=Rk1BX05FVF9NR04oJ0xUTScsJzAnLCctMTAnLCdDWScsJ1BPUlRBR0cnLCdNRUFOUicpOw==&amp;_ticker=FI1305US&amp;display_string=audit&amp;HEIGHT=800&amp;WIDTH=1200&amp;WINDOW=POPUP" xr:uid="{70FDDBB6-5C94-1C48-8724-2969246EDE02}"/>
    <hyperlink ref="L12" r:id="rId33" display="https://my.apps.factset.com/cpe-built-apps-server/fma-audit-report/index.html?_calendar=FIVEDAY&amp;_index=10&amp;_query=Rk1BX05FVF9NR04oJ0xUTScsJzAnLCctMTAnLCdDWScsJ1BPUlRBR0cnLCdNRUFOUicpOw==&amp;_ticker=FI1305US&amp;display_string=audit&amp;HEIGHT=800&amp;WIDTH=1200&amp;WINDOW=POPUP" xr:uid="{2002AA93-7CD8-584B-A7CF-74F378DE2220}"/>
    <hyperlink ref="B13" r:id="rId34" display="https://my.apps.factset.com/cpe-built-apps-server/fma-audit-report/index.html?_calendar=FIVEDAY&amp;_index=0&amp;_query=Rk1BX0VCSVRfTUFSR0lOKCdMVE0nLCcwJywnLTEwJywnQ1knLCwnUE9SVEFHRycpOw==&amp;_ticker=FI1305US&amp;display_string=audit&amp;HEIGHT=800&amp;WIDTH=1200&amp;WINDOW=POPUP" xr:uid="{69068DA3-0FCC-0742-AF99-274D504CF163}"/>
    <hyperlink ref="C13" r:id="rId35" display="https://my.apps.factset.com/cpe-built-apps-server/fma-audit-report/index.html?_calendar=FIVEDAY&amp;_index=1&amp;_query=Rk1BX0VCSVRfTUFSR0lOKCdMVE0nLCcwJywnLTEwJywnQ1knLCwnUE9SVEFHRycpOw==&amp;_ticker=FI1305US&amp;display_string=audit&amp;HEIGHT=800&amp;WIDTH=1200&amp;WINDOW=POPUP" xr:uid="{F8FD79EC-DC2A-544C-970C-8AE2D867D443}"/>
    <hyperlink ref="D13" r:id="rId36" display="https://my.apps.factset.com/cpe-built-apps-server/fma-audit-report/index.html?_calendar=FIVEDAY&amp;_index=2&amp;_query=Rk1BX0VCSVRfTUFSR0lOKCdMVE0nLCcwJywnLTEwJywnQ1knLCwnUE9SVEFHRycpOw==&amp;_ticker=FI1305US&amp;display_string=audit&amp;HEIGHT=800&amp;WIDTH=1200&amp;WINDOW=POPUP" xr:uid="{1CCD2447-635C-9E46-8EFF-039D5508FB15}"/>
    <hyperlink ref="E13" r:id="rId37" display="https://my.apps.factset.com/cpe-built-apps-server/fma-audit-report/index.html?_calendar=FIVEDAY&amp;_index=3&amp;_query=Rk1BX0VCSVRfTUFSR0lOKCdMVE0nLCcwJywnLTEwJywnQ1knLCwnUE9SVEFHRycpOw==&amp;_ticker=FI1305US&amp;display_string=audit&amp;HEIGHT=800&amp;WIDTH=1200&amp;WINDOW=POPUP" xr:uid="{3F662D50-3D3C-AF40-89A8-C9EFC822CD0F}"/>
    <hyperlink ref="F13" r:id="rId38" display="https://my.apps.factset.com/cpe-built-apps-server/fma-audit-report/index.html?_calendar=FIVEDAY&amp;_index=4&amp;_query=Rk1BX0VCSVRfTUFSR0lOKCdMVE0nLCcwJywnLTEwJywnQ1knLCwnUE9SVEFHRycpOw==&amp;_ticker=FI1305US&amp;display_string=audit&amp;HEIGHT=800&amp;WIDTH=1200&amp;WINDOW=POPUP" xr:uid="{7833B606-49FB-8749-A75D-B23AA067A54C}"/>
    <hyperlink ref="G13" r:id="rId39" display="https://my.apps.factset.com/cpe-built-apps-server/fma-audit-report/index.html?_calendar=FIVEDAY&amp;_index=5&amp;_query=Rk1BX0VCSVRfTUFSR0lOKCdMVE0nLCcwJywnLTEwJywnQ1knLCwnUE9SVEFHRycpOw==&amp;_ticker=FI1305US&amp;display_string=audit&amp;HEIGHT=800&amp;WIDTH=1200&amp;WINDOW=POPUP" xr:uid="{A9DD510E-93E3-5F40-A32C-88ED422F9FB2}"/>
    <hyperlink ref="H13" r:id="rId40" display="https://my.apps.factset.com/cpe-built-apps-server/fma-audit-report/index.html?_calendar=FIVEDAY&amp;_index=6&amp;_query=Rk1BX0VCSVRfTUFSR0lOKCdMVE0nLCcwJywnLTEwJywnQ1knLCwnUE9SVEFHRycpOw==&amp;_ticker=FI1305US&amp;display_string=audit&amp;HEIGHT=800&amp;WIDTH=1200&amp;WINDOW=POPUP" xr:uid="{295A2431-D9A4-0A41-8D4F-90EA34F67E36}"/>
    <hyperlink ref="I13" r:id="rId41" display="https://my.apps.factset.com/cpe-built-apps-server/fma-audit-report/index.html?_calendar=FIVEDAY&amp;_index=7&amp;_query=Rk1BX0VCSVRfTUFSR0lOKCdMVE0nLCcwJywnLTEwJywnQ1knLCwnUE9SVEFHRycpOw==&amp;_ticker=FI1305US&amp;display_string=audit&amp;HEIGHT=800&amp;WIDTH=1200&amp;WINDOW=POPUP" xr:uid="{7BD03B17-68B0-8342-B0F1-5857484736A7}"/>
    <hyperlink ref="J13" r:id="rId42" display="https://my.apps.factset.com/cpe-built-apps-server/fma-audit-report/index.html?_calendar=FIVEDAY&amp;_index=8&amp;_query=Rk1BX0VCSVRfTUFSR0lOKCdMVE0nLCcwJywnLTEwJywnQ1knLCwnUE9SVEFHRycpOw==&amp;_ticker=FI1305US&amp;display_string=audit&amp;HEIGHT=800&amp;WIDTH=1200&amp;WINDOW=POPUP" xr:uid="{9F4EBEC5-63E3-0249-83A2-42A1334C16CA}"/>
    <hyperlink ref="K13" r:id="rId43" display="https://my.apps.factset.com/cpe-built-apps-server/fma-audit-report/index.html?_calendar=FIVEDAY&amp;_index=9&amp;_query=Rk1BX0VCSVRfTUFSR0lOKCdMVE0nLCcwJywnLTEwJywnQ1knLCwnUE9SVEFHRycpOw==&amp;_ticker=FI1305US&amp;display_string=audit&amp;HEIGHT=800&amp;WIDTH=1200&amp;WINDOW=POPUP" xr:uid="{D05F22EF-6EE1-014C-AB8A-8D1094585E52}"/>
    <hyperlink ref="L13" r:id="rId44" display="https://my.apps.factset.com/cpe-built-apps-server/fma-audit-report/index.html?_calendar=FIVEDAY&amp;_index=10&amp;_query=Rk1BX0VCSVRfTUFSR0lOKCdMVE0nLCcwJywnLTEwJywnQ1knLCwnUE9SVEFHRycpOw==&amp;_ticker=FI1305US&amp;display_string=audit&amp;HEIGHT=800&amp;WIDTH=1200&amp;WINDOW=POPUP" xr:uid="{98A3B576-47DC-304E-AD89-E85DEF9FB6B6}"/>
    <hyperlink ref="B14" r:id="rId45" display="https://my.apps.factset.com/cpe-built-apps-server/fma-audit-report/index.html?_calendar=FIVEDAY&amp;_index=0&amp;_query=Rk1BX0VCSVREQV9NQVJHSU4oJ0xUTScsJzAnLCctMTAnLCdDWScsLCdQT1JUQUdHJywnTUVBTlInKTs=&amp;_ticker=FI1305US&amp;display_string=audit&amp;HEIGHT=800&amp;WIDTH=1200&amp;WINDOW=POPUP" xr:uid="{7B9F0F10-E4B5-9040-8E08-C67C957A8870}"/>
    <hyperlink ref="C14" r:id="rId46" display="https://my.apps.factset.com/cpe-built-apps-server/fma-audit-report/index.html?_calendar=FIVEDAY&amp;_index=1&amp;_query=Rk1BX0VCSVREQV9NQVJHSU4oJ0xUTScsJzAnLCctMTAnLCdDWScsLCdQT1JUQUdHJywnTUVBTlInKTs=&amp;_ticker=FI1305US&amp;display_string=audit&amp;HEIGHT=800&amp;WIDTH=1200&amp;WINDOW=POPUP" xr:uid="{F1488A76-8C64-3942-ACDB-478F2DD779E4}"/>
    <hyperlink ref="D14" r:id="rId47" display="https://my.apps.factset.com/cpe-built-apps-server/fma-audit-report/index.html?_calendar=FIVEDAY&amp;_index=2&amp;_query=Rk1BX0VCSVREQV9NQVJHSU4oJ0xUTScsJzAnLCctMTAnLCdDWScsLCdQT1JUQUdHJywnTUVBTlInKTs=&amp;_ticker=FI1305US&amp;display_string=audit&amp;HEIGHT=800&amp;WIDTH=1200&amp;WINDOW=POPUP" xr:uid="{DC82C204-CC8A-AE4F-B831-229E3B6F2238}"/>
    <hyperlink ref="E14" r:id="rId48" display="https://my.apps.factset.com/cpe-built-apps-server/fma-audit-report/index.html?_calendar=FIVEDAY&amp;_index=3&amp;_query=Rk1BX0VCSVREQV9NQVJHSU4oJ0xUTScsJzAnLCctMTAnLCdDWScsLCdQT1JUQUdHJywnTUVBTlInKTs=&amp;_ticker=FI1305US&amp;display_string=audit&amp;HEIGHT=800&amp;WIDTH=1200&amp;WINDOW=POPUP" xr:uid="{28499D64-0FD6-384F-A341-67AE510A7CAA}"/>
    <hyperlink ref="F14" r:id="rId49" display="https://my.apps.factset.com/cpe-built-apps-server/fma-audit-report/index.html?_calendar=FIVEDAY&amp;_index=4&amp;_query=Rk1BX0VCSVREQV9NQVJHSU4oJ0xUTScsJzAnLCctMTAnLCdDWScsLCdQT1JUQUdHJywnTUVBTlInKTs=&amp;_ticker=FI1305US&amp;display_string=audit&amp;HEIGHT=800&amp;WIDTH=1200&amp;WINDOW=POPUP" xr:uid="{0B663284-5DDA-7145-92BB-57E160177E57}"/>
    <hyperlink ref="G14" r:id="rId50" display="https://my.apps.factset.com/cpe-built-apps-server/fma-audit-report/index.html?_calendar=FIVEDAY&amp;_index=5&amp;_query=Rk1BX0VCSVREQV9NQVJHSU4oJ0xUTScsJzAnLCctMTAnLCdDWScsLCdQT1JUQUdHJywnTUVBTlInKTs=&amp;_ticker=FI1305US&amp;display_string=audit&amp;HEIGHT=800&amp;WIDTH=1200&amp;WINDOW=POPUP" xr:uid="{F2915323-B6E1-0B44-A6B4-EDB1D6C4D457}"/>
    <hyperlink ref="H14" r:id="rId51" display="https://my.apps.factset.com/cpe-built-apps-server/fma-audit-report/index.html?_calendar=FIVEDAY&amp;_index=6&amp;_query=Rk1BX0VCSVREQV9NQVJHSU4oJ0xUTScsJzAnLCctMTAnLCdDWScsLCdQT1JUQUdHJywnTUVBTlInKTs=&amp;_ticker=FI1305US&amp;display_string=audit&amp;HEIGHT=800&amp;WIDTH=1200&amp;WINDOW=POPUP" xr:uid="{E8DB17C1-CBCB-6043-B27A-B666AA7A74D7}"/>
    <hyperlink ref="I14" r:id="rId52" display="https://my.apps.factset.com/cpe-built-apps-server/fma-audit-report/index.html?_calendar=FIVEDAY&amp;_index=7&amp;_query=Rk1BX0VCSVREQV9NQVJHSU4oJ0xUTScsJzAnLCctMTAnLCdDWScsLCdQT1JUQUdHJywnTUVBTlInKTs=&amp;_ticker=FI1305US&amp;display_string=audit&amp;HEIGHT=800&amp;WIDTH=1200&amp;WINDOW=POPUP" xr:uid="{F4EC747A-7E1B-F04A-9011-7E70F19F0735}"/>
    <hyperlink ref="J14" r:id="rId53" display="https://my.apps.factset.com/cpe-built-apps-server/fma-audit-report/index.html?_calendar=FIVEDAY&amp;_index=8&amp;_query=Rk1BX0VCSVREQV9NQVJHSU4oJ0xUTScsJzAnLCctMTAnLCdDWScsLCdQT1JUQUdHJywnTUVBTlInKTs=&amp;_ticker=FI1305US&amp;display_string=audit&amp;HEIGHT=800&amp;WIDTH=1200&amp;WINDOW=POPUP" xr:uid="{9FBB598F-35B3-5349-9DA1-0CE8BF6B0ABF}"/>
    <hyperlink ref="K14" r:id="rId54" display="https://my.apps.factset.com/cpe-built-apps-server/fma-audit-report/index.html?_calendar=FIVEDAY&amp;_index=9&amp;_query=Rk1BX0VCSVREQV9NQVJHSU4oJ0xUTScsJzAnLCctMTAnLCdDWScsLCdQT1JUQUdHJywnTUVBTlInKTs=&amp;_ticker=FI1305US&amp;display_string=audit&amp;HEIGHT=800&amp;WIDTH=1200&amp;WINDOW=POPUP" xr:uid="{8B3CB6C7-1345-F040-93A7-1BE93CA0BACF}"/>
    <hyperlink ref="L14" r:id="rId55" display="https://my.apps.factset.com/cpe-built-apps-server/fma-audit-report/index.html?_calendar=FIVEDAY&amp;_index=10&amp;_query=Rk1BX0VCSVREQV9NQVJHSU4oJ0xUTScsJzAnLCctMTAnLCdDWScsLCdQT1JUQUdHJywnTUVBTlInKTs=&amp;_ticker=FI1305US&amp;display_string=audit&amp;HEIGHT=800&amp;WIDTH=1200&amp;WINDOW=POPUP" xr:uid="{F1492F5F-268F-A844-A6DF-AF89C3B26E00}"/>
    <hyperlink ref="B15" r:id="rId56" display="https://my.apps.factset.com/cpe-built-apps-server/fma-audit-report/index.html?_calendar=FIVEDAY&amp;_index=0&amp;_query=Rk1BX1JPQSgnTFRNJywnMCcsJy0xMCcsJ0NZJywnUE9SVEFHRycpOw==&amp;_ticker=FI1305US&amp;display_string=audit&amp;HEIGHT=800&amp;WIDTH=1200&amp;WINDOW=POPUP" xr:uid="{6E1CFB63-CDE5-CB4B-8FA5-DB1C31849E40}"/>
    <hyperlink ref="C15" r:id="rId57" display="https://my.apps.factset.com/cpe-built-apps-server/fma-audit-report/index.html?_calendar=FIVEDAY&amp;_index=1&amp;_query=Rk1BX1JPQSgnTFRNJywnMCcsJy0xMCcsJ0NZJywnUE9SVEFHRycpOw==&amp;_ticker=FI1305US&amp;display_string=audit&amp;HEIGHT=800&amp;WIDTH=1200&amp;WINDOW=POPUP" xr:uid="{E5714F6C-E2A0-3F48-89A5-33F7F7C6919E}"/>
    <hyperlink ref="D15" r:id="rId58" display="https://my.apps.factset.com/cpe-built-apps-server/fma-audit-report/index.html?_calendar=FIVEDAY&amp;_index=2&amp;_query=Rk1BX1JPQSgnTFRNJywnMCcsJy0xMCcsJ0NZJywnUE9SVEFHRycpOw==&amp;_ticker=FI1305US&amp;display_string=audit&amp;HEIGHT=800&amp;WIDTH=1200&amp;WINDOW=POPUP" xr:uid="{10F895A6-C5E0-B545-BFBF-1C5D3F48F21B}"/>
    <hyperlink ref="E15" r:id="rId59" display="https://my.apps.factset.com/cpe-built-apps-server/fma-audit-report/index.html?_calendar=FIVEDAY&amp;_index=3&amp;_query=Rk1BX1JPQSgnTFRNJywnMCcsJy0xMCcsJ0NZJywnUE9SVEFHRycpOw==&amp;_ticker=FI1305US&amp;display_string=audit&amp;HEIGHT=800&amp;WIDTH=1200&amp;WINDOW=POPUP" xr:uid="{FA66CA66-7C01-CE4F-94CC-98C34BE3B6E2}"/>
    <hyperlink ref="F15" r:id="rId60" display="https://my.apps.factset.com/cpe-built-apps-server/fma-audit-report/index.html?_calendar=FIVEDAY&amp;_index=4&amp;_query=Rk1BX1JPQSgnTFRNJywnMCcsJy0xMCcsJ0NZJywnUE9SVEFHRycpOw==&amp;_ticker=FI1305US&amp;display_string=audit&amp;HEIGHT=800&amp;WIDTH=1200&amp;WINDOW=POPUP" xr:uid="{2CF96955-50BD-0F45-8D59-0680A6773B52}"/>
    <hyperlink ref="G15" r:id="rId61" display="https://my.apps.factset.com/cpe-built-apps-server/fma-audit-report/index.html?_calendar=FIVEDAY&amp;_index=5&amp;_query=Rk1BX1JPQSgnTFRNJywnMCcsJy0xMCcsJ0NZJywnUE9SVEFHRycpOw==&amp;_ticker=FI1305US&amp;display_string=audit&amp;HEIGHT=800&amp;WIDTH=1200&amp;WINDOW=POPUP" xr:uid="{7384C33A-C9FB-7A45-A589-2A5CA2A2AE23}"/>
    <hyperlink ref="H15" r:id="rId62" display="https://my.apps.factset.com/cpe-built-apps-server/fma-audit-report/index.html?_calendar=FIVEDAY&amp;_index=6&amp;_query=Rk1BX1JPQSgnTFRNJywnMCcsJy0xMCcsJ0NZJywnUE9SVEFHRycpOw==&amp;_ticker=FI1305US&amp;display_string=audit&amp;HEIGHT=800&amp;WIDTH=1200&amp;WINDOW=POPUP" xr:uid="{9B63E120-774E-8A4E-8CE4-6AD28ED3740F}"/>
    <hyperlink ref="I15" r:id="rId63" display="https://my.apps.factset.com/cpe-built-apps-server/fma-audit-report/index.html?_calendar=FIVEDAY&amp;_index=7&amp;_query=Rk1BX1JPQSgnTFRNJywnMCcsJy0xMCcsJ0NZJywnUE9SVEFHRycpOw==&amp;_ticker=FI1305US&amp;display_string=audit&amp;HEIGHT=800&amp;WIDTH=1200&amp;WINDOW=POPUP" xr:uid="{23F495B9-86D3-C348-9694-3F802F5B1E4F}"/>
    <hyperlink ref="J15" r:id="rId64" display="https://my.apps.factset.com/cpe-built-apps-server/fma-audit-report/index.html?_calendar=FIVEDAY&amp;_index=8&amp;_query=Rk1BX1JPQSgnTFRNJywnMCcsJy0xMCcsJ0NZJywnUE9SVEFHRycpOw==&amp;_ticker=FI1305US&amp;display_string=audit&amp;HEIGHT=800&amp;WIDTH=1200&amp;WINDOW=POPUP" xr:uid="{EE658840-C863-1841-96E4-F75DD72C6166}"/>
    <hyperlink ref="K15" r:id="rId65" display="https://my.apps.factset.com/cpe-built-apps-server/fma-audit-report/index.html?_calendar=FIVEDAY&amp;_index=9&amp;_query=Rk1BX1JPQSgnTFRNJywnMCcsJy0xMCcsJ0NZJywnUE9SVEFHRycpOw==&amp;_ticker=FI1305US&amp;display_string=audit&amp;HEIGHT=800&amp;WIDTH=1200&amp;WINDOW=POPUP" xr:uid="{0FDDCB50-775A-684E-853E-C53217282C18}"/>
    <hyperlink ref="L15" r:id="rId66" display="https://my.apps.factset.com/cpe-built-apps-server/fma-audit-report/index.html?_calendar=FIVEDAY&amp;_index=10&amp;_query=Rk1BX1JPQSgnTFRNJywnMCcsJy0xMCcsJ0NZJywnUE9SVEFHRycpOw==&amp;_ticker=FI1305US&amp;display_string=audit&amp;HEIGHT=800&amp;WIDTH=1200&amp;WINDOW=POPUP" xr:uid="{32DD153C-5D4D-0846-B7EF-B5AEA2A60C06}"/>
    <hyperlink ref="B16" r:id="rId67" display="https://my.apps.factset.com/cpe-built-apps-server/fma-audit-report/index.html?_calendar=FIVEDAY&amp;_index=0&amp;_query=Rk1BX1JPRSgnTFRNJywnMCcsJy0xMCcsJ0NZJywnUE9SVEFHRycsJ01FQU5SJyk7&amp;_ticker=FI1305US&amp;display_string=audit&amp;HEIGHT=800&amp;WIDTH=1200&amp;WINDOW=POPUP" xr:uid="{537E1984-996C-0048-89D6-58C946FE4971}"/>
    <hyperlink ref="C16" r:id="rId68" display="https://my.apps.factset.com/cpe-built-apps-server/fma-audit-report/index.html?_calendar=FIVEDAY&amp;_index=1&amp;_query=Rk1BX1JPRSgnTFRNJywnMCcsJy0xMCcsJ0NZJywnUE9SVEFHRycsJ01FQU5SJyk7&amp;_ticker=FI1305US&amp;display_string=audit&amp;HEIGHT=800&amp;WIDTH=1200&amp;WINDOW=POPUP" xr:uid="{76E3642F-1527-3F41-9D0F-079A8CD9AD59}"/>
    <hyperlink ref="D16" r:id="rId69" display="https://my.apps.factset.com/cpe-built-apps-server/fma-audit-report/index.html?_calendar=FIVEDAY&amp;_index=2&amp;_query=Rk1BX1JPRSgnTFRNJywnMCcsJy0xMCcsJ0NZJywnUE9SVEFHRycsJ01FQU5SJyk7&amp;_ticker=FI1305US&amp;display_string=audit&amp;HEIGHT=800&amp;WIDTH=1200&amp;WINDOW=POPUP" xr:uid="{1857C61F-D4E8-CE48-A5CC-67973481352D}"/>
    <hyperlink ref="E16" r:id="rId70" display="https://my.apps.factset.com/cpe-built-apps-server/fma-audit-report/index.html?_calendar=FIVEDAY&amp;_index=3&amp;_query=Rk1BX1JPRSgnTFRNJywnMCcsJy0xMCcsJ0NZJywnUE9SVEFHRycsJ01FQU5SJyk7&amp;_ticker=FI1305US&amp;display_string=audit&amp;HEIGHT=800&amp;WIDTH=1200&amp;WINDOW=POPUP" xr:uid="{23ECEB8F-C38A-4146-A191-B17686CD99C8}"/>
    <hyperlink ref="F16" r:id="rId71" display="https://my.apps.factset.com/cpe-built-apps-server/fma-audit-report/index.html?_calendar=FIVEDAY&amp;_index=4&amp;_query=Rk1BX1JPRSgnTFRNJywnMCcsJy0xMCcsJ0NZJywnUE9SVEFHRycsJ01FQU5SJyk7&amp;_ticker=FI1305US&amp;display_string=audit&amp;HEIGHT=800&amp;WIDTH=1200&amp;WINDOW=POPUP" xr:uid="{2CB1F4EF-B625-AF49-BB17-7FFAB3F128E7}"/>
    <hyperlink ref="G16" r:id="rId72" display="https://my.apps.factset.com/cpe-built-apps-server/fma-audit-report/index.html?_calendar=FIVEDAY&amp;_index=5&amp;_query=Rk1BX1JPRSgnTFRNJywnMCcsJy0xMCcsJ0NZJywnUE9SVEFHRycsJ01FQU5SJyk7&amp;_ticker=FI1305US&amp;display_string=audit&amp;HEIGHT=800&amp;WIDTH=1200&amp;WINDOW=POPUP" xr:uid="{A142922D-A96E-FF47-80F3-6B8809A5240D}"/>
    <hyperlink ref="H16" r:id="rId73" display="https://my.apps.factset.com/cpe-built-apps-server/fma-audit-report/index.html?_calendar=FIVEDAY&amp;_index=6&amp;_query=Rk1BX1JPRSgnTFRNJywnMCcsJy0xMCcsJ0NZJywnUE9SVEFHRycsJ01FQU5SJyk7&amp;_ticker=FI1305US&amp;display_string=audit&amp;HEIGHT=800&amp;WIDTH=1200&amp;WINDOW=POPUP" xr:uid="{806864C0-ECBD-9249-B112-E763F44B004D}"/>
    <hyperlink ref="I16" r:id="rId74" display="https://my.apps.factset.com/cpe-built-apps-server/fma-audit-report/index.html?_calendar=FIVEDAY&amp;_index=7&amp;_query=Rk1BX1JPRSgnTFRNJywnMCcsJy0xMCcsJ0NZJywnUE9SVEFHRycsJ01FQU5SJyk7&amp;_ticker=FI1305US&amp;display_string=audit&amp;HEIGHT=800&amp;WIDTH=1200&amp;WINDOW=POPUP" xr:uid="{9AB5B1FC-6AAA-8B4E-8BF0-C7CC71451BF4}"/>
    <hyperlink ref="J16" r:id="rId75" display="https://my.apps.factset.com/cpe-built-apps-server/fma-audit-report/index.html?_calendar=FIVEDAY&amp;_index=8&amp;_query=Rk1BX1JPRSgnTFRNJywnMCcsJy0xMCcsJ0NZJywnUE9SVEFHRycsJ01FQU5SJyk7&amp;_ticker=FI1305US&amp;display_string=audit&amp;HEIGHT=800&amp;WIDTH=1200&amp;WINDOW=POPUP" xr:uid="{D6390045-47FC-1D46-A34B-02CE448C840E}"/>
    <hyperlink ref="K16" r:id="rId76" display="https://my.apps.factset.com/cpe-built-apps-server/fma-audit-report/index.html?_calendar=FIVEDAY&amp;_index=9&amp;_query=Rk1BX1JPRSgnTFRNJywnMCcsJy0xMCcsJ0NZJywnUE9SVEFHRycsJ01FQU5SJyk7&amp;_ticker=FI1305US&amp;display_string=audit&amp;HEIGHT=800&amp;WIDTH=1200&amp;WINDOW=POPUP" xr:uid="{D61C7AF4-2B28-DB4F-95D4-96BDA72BAB2C}"/>
    <hyperlink ref="L16" r:id="rId77" display="https://my.apps.factset.com/cpe-built-apps-server/fma-audit-report/index.html?_calendar=FIVEDAY&amp;_index=10&amp;_query=Rk1BX1JPRSgnTFRNJywnMCcsJy0xMCcsJ0NZJywnUE9SVEFHRycsJ01FQU5SJyk7&amp;_ticker=FI1305US&amp;display_string=audit&amp;HEIGHT=800&amp;WIDTH=1200&amp;WINDOW=POPUP" xr:uid="{D6A63BB4-3EC6-0947-AC24-AC2DEFC94E6A}"/>
    <hyperlink ref="B17" r:id="rId78" display="https://my.apps.factset.com/cpe-built-apps-server/fma-audit-report/index.html?_calendar=FIVEDAY&amp;_index=0&amp;_query=Rk1BX1JPSUMoJ0xUTScsJzAnLCctMTAnLCdDWScsJ0xPQ0FMJywnUE9SVEFHRycsJ01FQU5SJyk7&amp;_ticker=FI1305US&amp;display_string=audit&amp;HEIGHT=800&amp;WIDTH=1200&amp;WINDOW=POPUP" xr:uid="{CA26040E-F50B-0246-88C7-824ABB6B6DD3}"/>
    <hyperlink ref="C17" r:id="rId79" display="https://my.apps.factset.com/cpe-built-apps-server/fma-audit-report/index.html?_calendar=FIVEDAY&amp;_index=1&amp;_query=Rk1BX1JPSUMoJ0xUTScsJzAnLCctMTAnLCdDWScsJ0xPQ0FMJywnUE9SVEFHRycsJ01FQU5SJyk7&amp;_ticker=FI1305US&amp;display_string=audit&amp;HEIGHT=800&amp;WIDTH=1200&amp;WINDOW=POPUP" xr:uid="{B7B2B041-0A8F-9549-A223-F8FAC80DCC08}"/>
    <hyperlink ref="D17" r:id="rId80" display="https://my.apps.factset.com/cpe-built-apps-server/fma-audit-report/index.html?_calendar=FIVEDAY&amp;_index=2&amp;_query=Rk1BX1JPSUMoJ0xUTScsJzAnLCctMTAnLCdDWScsJ0xPQ0FMJywnUE9SVEFHRycsJ01FQU5SJyk7&amp;_ticker=FI1305US&amp;display_string=audit&amp;HEIGHT=800&amp;WIDTH=1200&amp;WINDOW=POPUP" xr:uid="{890C6600-CFB3-9441-9E47-62113FBA0987}"/>
    <hyperlink ref="E17" r:id="rId81" display="https://my.apps.factset.com/cpe-built-apps-server/fma-audit-report/index.html?_calendar=FIVEDAY&amp;_index=3&amp;_query=Rk1BX1JPSUMoJ0xUTScsJzAnLCctMTAnLCdDWScsJ0xPQ0FMJywnUE9SVEFHRycsJ01FQU5SJyk7&amp;_ticker=FI1305US&amp;display_string=audit&amp;HEIGHT=800&amp;WIDTH=1200&amp;WINDOW=POPUP" xr:uid="{801E1565-E159-EC42-92B7-B93DD06846C9}"/>
    <hyperlink ref="F17" r:id="rId82" display="https://my.apps.factset.com/cpe-built-apps-server/fma-audit-report/index.html?_calendar=FIVEDAY&amp;_index=4&amp;_query=Rk1BX1JPSUMoJ0xUTScsJzAnLCctMTAnLCdDWScsJ0xPQ0FMJywnUE9SVEFHRycsJ01FQU5SJyk7&amp;_ticker=FI1305US&amp;display_string=audit&amp;HEIGHT=800&amp;WIDTH=1200&amp;WINDOW=POPUP" xr:uid="{946387F1-0005-2F4C-886E-6834B45F88D7}"/>
    <hyperlink ref="G17" r:id="rId83" display="https://my.apps.factset.com/cpe-built-apps-server/fma-audit-report/index.html?_calendar=FIVEDAY&amp;_index=5&amp;_query=Rk1BX1JPSUMoJ0xUTScsJzAnLCctMTAnLCdDWScsJ0xPQ0FMJywnUE9SVEFHRycsJ01FQU5SJyk7&amp;_ticker=FI1305US&amp;display_string=audit&amp;HEIGHT=800&amp;WIDTH=1200&amp;WINDOW=POPUP" xr:uid="{D4A05817-A0A0-4744-B445-D9E776C9C05F}"/>
    <hyperlink ref="H17" r:id="rId84" display="https://my.apps.factset.com/cpe-built-apps-server/fma-audit-report/index.html?_calendar=FIVEDAY&amp;_index=6&amp;_query=Rk1BX1JPSUMoJ0xUTScsJzAnLCctMTAnLCdDWScsJ0xPQ0FMJywnUE9SVEFHRycsJ01FQU5SJyk7&amp;_ticker=FI1305US&amp;display_string=audit&amp;HEIGHT=800&amp;WIDTH=1200&amp;WINDOW=POPUP" xr:uid="{662DB99A-0B42-DC4F-94BE-31D5DB732246}"/>
    <hyperlink ref="I17" r:id="rId85" display="https://my.apps.factset.com/cpe-built-apps-server/fma-audit-report/index.html?_calendar=FIVEDAY&amp;_index=7&amp;_query=Rk1BX1JPSUMoJ0xUTScsJzAnLCctMTAnLCdDWScsJ0xPQ0FMJywnUE9SVEFHRycsJ01FQU5SJyk7&amp;_ticker=FI1305US&amp;display_string=audit&amp;HEIGHT=800&amp;WIDTH=1200&amp;WINDOW=POPUP" xr:uid="{BFC85B23-C72C-D745-8859-98F2404F27B0}"/>
    <hyperlink ref="J17" r:id="rId86" display="https://my.apps.factset.com/cpe-built-apps-server/fma-audit-report/index.html?_calendar=FIVEDAY&amp;_index=8&amp;_query=Rk1BX1JPSUMoJ0xUTScsJzAnLCctMTAnLCdDWScsJ0xPQ0FMJywnUE9SVEFHRycsJ01FQU5SJyk7&amp;_ticker=FI1305US&amp;display_string=audit&amp;HEIGHT=800&amp;WIDTH=1200&amp;WINDOW=POPUP" xr:uid="{9BF28C15-A0A9-8C42-ACEF-3E157BEE6804}"/>
    <hyperlink ref="K17" r:id="rId87" display="https://my.apps.factset.com/cpe-built-apps-server/fma-audit-report/index.html?_calendar=FIVEDAY&amp;_index=9&amp;_query=Rk1BX1JPSUMoJ0xUTScsJzAnLCctMTAnLCdDWScsJ0xPQ0FMJywnUE9SVEFHRycsJ01FQU5SJyk7&amp;_ticker=FI1305US&amp;display_string=audit&amp;HEIGHT=800&amp;WIDTH=1200&amp;WINDOW=POPUP" xr:uid="{A2CCB1AD-B370-1E4C-ACAA-C9C0A69C6CE3}"/>
    <hyperlink ref="L17" r:id="rId88" display="https://my.apps.factset.com/cpe-built-apps-server/fma-audit-report/index.html?_calendar=FIVEDAY&amp;_index=10&amp;_query=Rk1BX1JPSUMoJ0xUTScsJzAnLCctMTAnLCdDWScsJ0xPQ0FMJywnUE9SVEFHRycsJ01FQU5SJyk7&amp;_ticker=FI1305US&amp;display_string=audit&amp;HEIGHT=800&amp;WIDTH=1200&amp;WINDOW=POPUP" xr:uid="{50855A83-6D1E-D94A-A9F5-15172408C83F}"/>
    <hyperlink ref="B18" r:id="rId89" display="https://my.apps.factset.com/cpe-built-apps-server/fma-audit-report/index.html?_calendar=FIVEDAY&amp;_index=0&amp;_query=Rk1BX0ZDRl9NR04oJ0xUTScsJzAnLCctMTAnLCdDWScsJ1BPUlRBR0cnKTs=&amp;_ticker=FI1305US&amp;display_string=audit&amp;HEIGHT=800&amp;WIDTH=1200&amp;WINDOW=POPUP" xr:uid="{C4FD68ED-2ECE-4F4F-B1D2-2115D4CE7EBC}"/>
    <hyperlink ref="C18" r:id="rId90" display="https://my.apps.factset.com/cpe-built-apps-server/fma-audit-report/index.html?_calendar=FIVEDAY&amp;_index=1&amp;_query=Rk1BX0ZDRl9NR04oJ0xUTScsJzAnLCctMTAnLCdDWScsJ1BPUlRBR0cnKTs=&amp;_ticker=FI1305US&amp;display_string=audit&amp;HEIGHT=800&amp;WIDTH=1200&amp;WINDOW=POPUP" xr:uid="{1924062E-9C56-144A-84FD-045AB8C0822B}"/>
    <hyperlink ref="D18" r:id="rId91" display="https://my.apps.factset.com/cpe-built-apps-server/fma-audit-report/index.html?_calendar=FIVEDAY&amp;_index=2&amp;_query=Rk1BX0ZDRl9NR04oJ0xUTScsJzAnLCctMTAnLCdDWScsJ1BPUlRBR0cnKTs=&amp;_ticker=FI1305US&amp;display_string=audit&amp;HEIGHT=800&amp;WIDTH=1200&amp;WINDOW=POPUP" xr:uid="{FEA52DC8-E5EC-C04C-B39F-FC426A866976}"/>
    <hyperlink ref="E18" r:id="rId92" display="https://my.apps.factset.com/cpe-built-apps-server/fma-audit-report/index.html?_calendar=FIVEDAY&amp;_index=3&amp;_query=Rk1BX0ZDRl9NR04oJ0xUTScsJzAnLCctMTAnLCdDWScsJ1BPUlRBR0cnKTs=&amp;_ticker=FI1305US&amp;display_string=audit&amp;HEIGHT=800&amp;WIDTH=1200&amp;WINDOW=POPUP" xr:uid="{C8BE1B1D-AAA1-9448-99BD-A09D9DD58C4C}"/>
    <hyperlink ref="F18" r:id="rId93" display="https://my.apps.factset.com/cpe-built-apps-server/fma-audit-report/index.html?_calendar=FIVEDAY&amp;_index=4&amp;_query=Rk1BX0ZDRl9NR04oJ0xUTScsJzAnLCctMTAnLCdDWScsJ1BPUlRBR0cnKTs=&amp;_ticker=FI1305US&amp;display_string=audit&amp;HEIGHT=800&amp;WIDTH=1200&amp;WINDOW=POPUP" xr:uid="{F4E99C2A-070D-9649-87B9-D6D33B9ECB11}"/>
    <hyperlink ref="G18" r:id="rId94" display="https://my.apps.factset.com/cpe-built-apps-server/fma-audit-report/index.html?_calendar=FIVEDAY&amp;_index=5&amp;_query=Rk1BX0ZDRl9NR04oJ0xUTScsJzAnLCctMTAnLCdDWScsJ1BPUlRBR0cnKTs=&amp;_ticker=FI1305US&amp;display_string=audit&amp;HEIGHT=800&amp;WIDTH=1200&amp;WINDOW=POPUP" xr:uid="{58528753-1D70-8E4A-A7CB-08C2388137CF}"/>
    <hyperlink ref="H18" r:id="rId95" display="https://my.apps.factset.com/cpe-built-apps-server/fma-audit-report/index.html?_calendar=FIVEDAY&amp;_index=6&amp;_query=Rk1BX0ZDRl9NR04oJ0xUTScsJzAnLCctMTAnLCdDWScsJ1BPUlRBR0cnKTs=&amp;_ticker=FI1305US&amp;display_string=audit&amp;HEIGHT=800&amp;WIDTH=1200&amp;WINDOW=POPUP" xr:uid="{1C3591D5-FA12-0947-8BDA-C2E78AADC087}"/>
    <hyperlink ref="I18" r:id="rId96" display="https://my.apps.factset.com/cpe-built-apps-server/fma-audit-report/index.html?_calendar=FIVEDAY&amp;_index=7&amp;_query=Rk1BX0ZDRl9NR04oJ0xUTScsJzAnLCctMTAnLCdDWScsJ1BPUlRBR0cnKTs=&amp;_ticker=FI1305US&amp;display_string=audit&amp;HEIGHT=800&amp;WIDTH=1200&amp;WINDOW=POPUP" xr:uid="{C7313062-064F-6B42-BD0B-323971F2B821}"/>
    <hyperlink ref="J18" r:id="rId97" display="https://my.apps.factset.com/cpe-built-apps-server/fma-audit-report/index.html?_calendar=FIVEDAY&amp;_index=8&amp;_query=Rk1BX0ZDRl9NR04oJ0xUTScsJzAnLCctMTAnLCdDWScsJ1BPUlRBR0cnKTs=&amp;_ticker=FI1305US&amp;display_string=audit&amp;HEIGHT=800&amp;WIDTH=1200&amp;WINDOW=POPUP" xr:uid="{DE5D83E9-BFC8-E845-AABD-BE6056D724CD}"/>
    <hyperlink ref="K18" r:id="rId98" display="https://my.apps.factset.com/cpe-built-apps-server/fma-audit-report/index.html?_calendar=FIVEDAY&amp;_index=9&amp;_query=Rk1BX0ZDRl9NR04oJ0xUTScsJzAnLCctMTAnLCdDWScsJ1BPUlRBR0cnKTs=&amp;_ticker=FI1305US&amp;display_string=audit&amp;HEIGHT=800&amp;WIDTH=1200&amp;WINDOW=POPUP" xr:uid="{80B0FC15-E8D2-D34F-88D0-14E26953060F}"/>
    <hyperlink ref="L18" r:id="rId99" display="https://my.apps.factset.com/cpe-built-apps-server/fma-audit-report/index.html?_calendar=FIVEDAY&amp;_index=10&amp;_query=Rk1BX0ZDRl9NR04oJ0xUTScsJzAnLCctMTAnLCdDWScsJ1BPUlRBR0cnKTs=&amp;_ticker=FI1305US&amp;display_string=audit&amp;HEIGHT=800&amp;WIDTH=1200&amp;WINDOW=POPUP" xr:uid="{64040CD8-C59B-FE42-B2F8-51B7A336BDB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DCF</vt:lpstr>
      <vt:lpstr>BULL DCF</vt:lpstr>
      <vt:lpstr>BEAR DCF</vt:lpstr>
      <vt:lpstr>WACC</vt:lpstr>
      <vt:lpstr>IS</vt:lpstr>
      <vt:lpstr>BS</vt:lpstr>
      <vt:lpstr>CFS</vt:lpstr>
      <vt:lpstr>Valuation Ratio</vt:lpstr>
      <vt:lpstr>Ratio analysis</vt:lpstr>
      <vt:lpstr>NVDA-US BS</vt:lpstr>
      <vt:lpstr>NVDA-US IS</vt:lpstr>
      <vt:lpstr>Leverage avg</vt:lpstr>
      <vt:lpstr>Coverage</vt:lpstr>
      <vt:lpstr>Valuation Avg</vt:lpstr>
      <vt:lpstr>Profitability</vt:lpstr>
      <vt:lpstr>Growth_rate</vt:lpstr>
      <vt:lpstr>Growth_rate1</vt:lpstr>
      <vt:lpstr>Tax_Rate</vt:lpstr>
      <vt:lpstr>WACC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Burke, Brendan L.</cp:lastModifiedBy>
  <dcterms:created xsi:type="dcterms:W3CDTF">2024-09-30T03:32:22Z</dcterms:created>
  <dcterms:modified xsi:type="dcterms:W3CDTF">2025-06-27T14:19:24Z</dcterms:modified>
  <cp:category/>
</cp:coreProperties>
</file>