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DT\Euro2020\"/>
    </mc:Choice>
  </mc:AlternateContent>
  <bookViews>
    <workbookView xWindow="28680" yWindow="-120" windowWidth="29040" windowHeight="15840" activeTab="3"/>
  </bookViews>
  <sheets>
    <sheet name="helper" sheetId="2" r:id="rId1"/>
    <sheet name="tie breaker" sheetId="5" r:id="rId2"/>
    <sheet name="Gruppenphase" sheetId="1" r:id="rId3"/>
    <sheet name="KO-Phase" sheetId="3" r:id="rId4"/>
    <sheet name="Tore" sheetId="4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P1" i="1"/>
  <c r="Q1" i="1" s="1"/>
  <c r="W1" i="1"/>
  <c r="Y1" i="1" s="1"/>
  <c r="AD1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X1" i="1" l="1"/>
  <c r="AB1" i="1"/>
  <c r="AA1" i="1"/>
  <c r="Z1" i="1"/>
  <c r="U1" i="1"/>
  <c r="T1" i="1"/>
  <c r="S1" i="1"/>
  <c r="R1" i="1"/>
  <c r="E26" i="5" l="1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W2" i="1"/>
  <c r="AA2" i="1" s="1"/>
  <c r="W3" i="1"/>
  <c r="Z3" i="1" s="1"/>
  <c r="W4" i="1"/>
  <c r="W5" i="1"/>
  <c r="Z5" i="1" s="1"/>
  <c r="W6" i="1"/>
  <c r="AA6" i="1" s="1"/>
  <c r="W7" i="1"/>
  <c r="Z7" i="1" s="1"/>
  <c r="W8" i="1"/>
  <c r="W9" i="1"/>
  <c r="AB9" i="1" s="1"/>
  <c r="W10" i="1"/>
  <c r="AA10" i="1" s="1"/>
  <c r="W11" i="1"/>
  <c r="Z11" i="1" s="1"/>
  <c r="W12" i="1"/>
  <c r="W13" i="1"/>
  <c r="W14" i="1"/>
  <c r="AA14" i="1" s="1"/>
  <c r="W15" i="1"/>
  <c r="Z15" i="1" s="1"/>
  <c r="W16" i="1"/>
  <c r="W17" i="1"/>
  <c r="AB17" i="1" s="1"/>
  <c r="W18" i="1"/>
  <c r="AA18" i="1" s="1"/>
  <c r="W19" i="1"/>
  <c r="Z19" i="1" s="1"/>
  <c r="W20" i="1"/>
  <c r="W21" i="1"/>
  <c r="W22" i="1"/>
  <c r="X22" i="1" s="1"/>
  <c r="W23" i="1"/>
  <c r="Z23" i="1" s="1"/>
  <c r="W24" i="1"/>
  <c r="W25" i="1"/>
  <c r="AB25" i="1" s="1"/>
  <c r="W26" i="1"/>
  <c r="W27" i="1"/>
  <c r="X27" i="1" s="1"/>
  <c r="W28" i="1"/>
  <c r="AB28" i="1" s="1"/>
  <c r="W29" i="1"/>
  <c r="AB29" i="1" s="1"/>
  <c r="W30" i="1"/>
  <c r="AA30" i="1" s="1"/>
  <c r="W31" i="1"/>
  <c r="Y31" i="1" s="1"/>
  <c r="W32" i="1"/>
  <c r="X32" i="1" s="1"/>
  <c r="W33" i="1"/>
  <c r="AB33" i="1" s="1"/>
  <c r="W34" i="1"/>
  <c r="Z34" i="1" s="1"/>
  <c r="W35" i="1"/>
  <c r="AB35" i="1" s="1"/>
  <c r="W36" i="1"/>
  <c r="AB36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S18" i="1" l="1"/>
  <c r="S31" i="1"/>
  <c r="S25" i="1"/>
  <c r="T19" i="1"/>
  <c r="R13" i="1"/>
  <c r="R7" i="1"/>
  <c r="T30" i="1"/>
  <c r="U35" i="1"/>
  <c r="S29" i="1"/>
  <c r="Q23" i="1"/>
  <c r="S17" i="1"/>
  <c r="U11" i="1"/>
  <c r="R5" i="1"/>
  <c r="S28" i="1"/>
  <c r="R22" i="1"/>
  <c r="S16" i="1"/>
  <c r="R10" i="1"/>
  <c r="S4" i="1"/>
  <c r="T36" i="1"/>
  <c r="S12" i="1"/>
  <c r="R21" i="1"/>
  <c r="T15" i="1"/>
  <c r="S9" i="1"/>
  <c r="Q3" i="1"/>
  <c r="S24" i="1"/>
  <c r="R6" i="1"/>
  <c r="Q34" i="1"/>
  <c r="S33" i="1"/>
  <c r="Q27" i="1"/>
  <c r="S32" i="1"/>
  <c r="R26" i="1"/>
  <c r="S20" i="1"/>
  <c r="R14" i="1"/>
  <c r="S8" i="1"/>
  <c r="S2" i="1"/>
  <c r="Q35" i="1"/>
  <c r="R31" i="1"/>
  <c r="X36" i="1"/>
  <c r="U36" i="1"/>
  <c r="Z36" i="1"/>
  <c r="R36" i="1"/>
  <c r="AA36" i="1"/>
  <c r="Q36" i="1"/>
  <c r="S36" i="1"/>
  <c r="AA35" i="1"/>
  <c r="X35" i="1"/>
  <c r="T35" i="1"/>
  <c r="S35" i="1"/>
  <c r="AA31" i="1"/>
  <c r="X30" i="1"/>
  <c r="Y28" i="1"/>
  <c r="Q28" i="1"/>
  <c r="U28" i="1"/>
  <c r="AA28" i="1"/>
  <c r="Z28" i="1"/>
  <c r="R28" i="1"/>
  <c r="Y36" i="1"/>
  <c r="Z35" i="1"/>
  <c r="R35" i="1"/>
  <c r="Y35" i="1"/>
  <c r="Y32" i="1"/>
  <c r="Z32" i="1"/>
  <c r="T32" i="1"/>
  <c r="AB32" i="1"/>
  <c r="AA32" i="1"/>
  <c r="Q32" i="1"/>
  <c r="R32" i="1"/>
  <c r="U32" i="1"/>
  <c r="Q31" i="1"/>
  <c r="Z31" i="1"/>
  <c r="X31" i="1"/>
  <c r="T31" i="1"/>
  <c r="U31" i="1"/>
  <c r="AB31" i="1"/>
  <c r="U30" i="1"/>
  <c r="R30" i="1"/>
  <c r="Z30" i="1"/>
  <c r="S30" i="1"/>
  <c r="Q30" i="1"/>
  <c r="AB30" i="1"/>
  <c r="Y30" i="1"/>
  <c r="X29" i="1"/>
  <c r="Q29" i="1"/>
  <c r="Y29" i="1"/>
  <c r="U29" i="1"/>
  <c r="R29" i="1"/>
  <c r="AA29" i="1"/>
  <c r="T29" i="1"/>
  <c r="Z29" i="1"/>
  <c r="X28" i="1"/>
  <c r="T28" i="1"/>
  <c r="S27" i="1"/>
  <c r="AA33" i="1"/>
  <c r="Q33" i="1"/>
  <c r="X33" i="1"/>
  <c r="R33" i="1"/>
  <c r="Y33" i="1"/>
  <c r="Z33" i="1"/>
  <c r="T33" i="1"/>
  <c r="U33" i="1"/>
  <c r="X34" i="1"/>
  <c r="T34" i="1"/>
  <c r="AB34" i="1"/>
  <c r="S34" i="1"/>
  <c r="R34" i="1"/>
  <c r="U34" i="1"/>
  <c r="AA34" i="1"/>
  <c r="Y34" i="1"/>
  <c r="S23" i="1"/>
  <c r="S15" i="1"/>
  <c r="S7" i="1"/>
  <c r="S21" i="1"/>
  <c r="S13" i="1"/>
  <c r="S5" i="1"/>
  <c r="S19" i="1"/>
  <c r="S11" i="1"/>
  <c r="S3" i="1"/>
  <c r="S26" i="1"/>
  <c r="S22" i="1"/>
  <c r="S14" i="1"/>
  <c r="S10" i="1"/>
  <c r="S6" i="1"/>
  <c r="Q19" i="1"/>
  <c r="X19" i="1"/>
  <c r="X11" i="1"/>
  <c r="R23" i="1"/>
  <c r="T11" i="1"/>
  <c r="U7" i="1"/>
  <c r="AB23" i="1"/>
  <c r="AB15" i="1"/>
  <c r="AB7" i="1"/>
  <c r="Q15" i="1"/>
  <c r="X18" i="1"/>
  <c r="X10" i="1"/>
  <c r="X2" i="1"/>
  <c r="R11" i="1"/>
  <c r="R3" i="1"/>
  <c r="T23" i="1"/>
  <c r="T7" i="1"/>
  <c r="U19" i="1"/>
  <c r="U3" i="1"/>
  <c r="AA23" i="1"/>
  <c r="AA15" i="1"/>
  <c r="AA7" i="1"/>
  <c r="Q11" i="1"/>
  <c r="X23" i="1"/>
  <c r="X15" i="1"/>
  <c r="X7" i="1"/>
  <c r="R19" i="1"/>
  <c r="T3" i="1"/>
  <c r="U15" i="1"/>
  <c r="AB19" i="1"/>
  <c r="AB11" i="1"/>
  <c r="AB3" i="1"/>
  <c r="X3" i="1"/>
  <c r="U23" i="1"/>
  <c r="Q7" i="1"/>
  <c r="X14" i="1"/>
  <c r="X6" i="1"/>
  <c r="R15" i="1"/>
  <c r="AA19" i="1"/>
  <c r="AA11" i="1"/>
  <c r="AA3" i="1"/>
  <c r="T25" i="1"/>
  <c r="Q25" i="1"/>
  <c r="U25" i="1"/>
  <c r="T17" i="1"/>
  <c r="Q17" i="1"/>
  <c r="U17" i="1"/>
  <c r="T9" i="1"/>
  <c r="Q9" i="1"/>
  <c r="U9" i="1"/>
  <c r="X21" i="1"/>
  <c r="AA21" i="1"/>
  <c r="X13" i="1"/>
  <c r="AA13" i="1"/>
  <c r="U24" i="1"/>
  <c r="R24" i="1"/>
  <c r="U20" i="1"/>
  <c r="R20" i="1"/>
  <c r="U16" i="1"/>
  <c r="R16" i="1"/>
  <c r="U12" i="1"/>
  <c r="R12" i="1"/>
  <c r="U8" i="1"/>
  <c r="R8" i="1"/>
  <c r="U4" i="1"/>
  <c r="R4" i="1"/>
  <c r="AA24" i="1"/>
  <c r="X24" i="1"/>
  <c r="AB24" i="1"/>
  <c r="Z24" i="1"/>
  <c r="Y24" i="1"/>
  <c r="AA20" i="1"/>
  <c r="X20" i="1"/>
  <c r="AB20" i="1"/>
  <c r="Z20" i="1"/>
  <c r="Y20" i="1"/>
  <c r="AA16" i="1"/>
  <c r="X16" i="1"/>
  <c r="AB16" i="1"/>
  <c r="Z16" i="1"/>
  <c r="Y16" i="1"/>
  <c r="AA12" i="1"/>
  <c r="X12" i="1"/>
  <c r="AB12" i="1"/>
  <c r="Z12" i="1"/>
  <c r="Y12" i="1"/>
  <c r="AA8" i="1"/>
  <c r="X8" i="1"/>
  <c r="AB8" i="1"/>
  <c r="Z8" i="1"/>
  <c r="Y8" i="1"/>
  <c r="AA4" i="1"/>
  <c r="X4" i="1"/>
  <c r="AB4" i="1"/>
  <c r="Z4" i="1"/>
  <c r="Y4" i="1"/>
  <c r="Y13" i="1"/>
  <c r="Z13" i="1"/>
  <c r="Q24" i="1"/>
  <c r="Q16" i="1"/>
  <c r="Q8" i="1"/>
  <c r="R25" i="1"/>
  <c r="R9" i="1"/>
  <c r="Y25" i="1"/>
  <c r="Y9" i="1"/>
  <c r="Z25" i="1"/>
  <c r="Z9" i="1"/>
  <c r="T24" i="1"/>
  <c r="T16" i="1"/>
  <c r="T8" i="1"/>
  <c r="AB21" i="1"/>
  <c r="AB5" i="1"/>
  <c r="T26" i="1"/>
  <c r="Q26" i="1"/>
  <c r="U26" i="1"/>
  <c r="T22" i="1"/>
  <c r="Q22" i="1"/>
  <c r="U22" i="1"/>
  <c r="T18" i="1"/>
  <c r="Q18" i="1"/>
  <c r="U18" i="1"/>
  <c r="T14" i="1"/>
  <c r="Q14" i="1"/>
  <c r="U14" i="1"/>
  <c r="T10" i="1"/>
  <c r="Q10" i="1"/>
  <c r="U10" i="1"/>
  <c r="T6" i="1"/>
  <c r="Q6" i="1"/>
  <c r="U6" i="1"/>
  <c r="T2" i="1"/>
  <c r="Q2" i="1"/>
  <c r="U2" i="1"/>
  <c r="AA26" i="1"/>
  <c r="Z26" i="1"/>
  <c r="Y26" i="1"/>
  <c r="AB26" i="1"/>
  <c r="AA22" i="1"/>
  <c r="Z22" i="1"/>
  <c r="Y22" i="1"/>
  <c r="AB22" i="1"/>
  <c r="X26" i="1"/>
  <c r="R18" i="1"/>
  <c r="R2" i="1"/>
  <c r="Y21" i="1"/>
  <c r="Y5" i="1"/>
  <c r="Z21" i="1"/>
  <c r="T21" i="1"/>
  <c r="Q21" i="1"/>
  <c r="U21" i="1"/>
  <c r="T13" i="1"/>
  <c r="Q13" i="1"/>
  <c r="U13" i="1"/>
  <c r="T5" i="1"/>
  <c r="Q5" i="1"/>
  <c r="U5" i="1"/>
  <c r="X25" i="1"/>
  <c r="AA25" i="1"/>
  <c r="X17" i="1"/>
  <c r="AA17" i="1"/>
  <c r="X9" i="1"/>
  <c r="AA9" i="1"/>
  <c r="X5" i="1"/>
  <c r="AA5" i="1"/>
  <c r="Q20" i="1"/>
  <c r="Q12" i="1"/>
  <c r="Q4" i="1"/>
  <c r="R17" i="1"/>
  <c r="Y17" i="1"/>
  <c r="Z17" i="1"/>
  <c r="T20" i="1"/>
  <c r="T12" i="1"/>
  <c r="T4" i="1"/>
  <c r="AB13" i="1"/>
  <c r="Y23" i="1"/>
  <c r="Y19" i="1"/>
  <c r="Y15" i="1"/>
  <c r="Y11" i="1"/>
  <c r="Y7" i="1"/>
  <c r="Y3" i="1"/>
  <c r="AB18" i="1"/>
  <c r="AB14" i="1"/>
  <c r="AB10" i="1"/>
  <c r="AB6" i="1"/>
  <c r="AB2" i="1"/>
  <c r="Y18" i="1"/>
  <c r="Y14" i="1"/>
  <c r="Y10" i="1"/>
  <c r="Y6" i="1"/>
  <c r="Y2" i="1"/>
  <c r="Z18" i="1"/>
  <c r="Z14" i="1"/>
  <c r="Z10" i="1"/>
  <c r="Z6" i="1"/>
  <c r="Z2" i="1"/>
  <c r="Z27" i="1"/>
  <c r="T27" i="1"/>
  <c r="U27" i="1"/>
  <c r="AB27" i="1"/>
  <c r="AA27" i="1"/>
  <c r="R27" i="1"/>
  <c r="Y27" i="1"/>
  <c r="Y20" i="4" l="1"/>
  <c r="Z20" i="4" s="1"/>
  <c r="Y19" i="4"/>
  <c r="Z19" i="4" s="1"/>
  <c r="Y18" i="4"/>
  <c r="Z18" i="4" s="1"/>
  <c r="Y17" i="4"/>
  <c r="Z17" i="4" s="1"/>
  <c r="Y16" i="4"/>
  <c r="Z16" i="4" s="1"/>
  <c r="Y15" i="4"/>
  <c r="Z15" i="4" s="1"/>
  <c r="Y14" i="4"/>
  <c r="Z14" i="4" s="1"/>
  <c r="Y13" i="4"/>
  <c r="Z13" i="4" s="1"/>
  <c r="Y12" i="4"/>
  <c r="Z12" i="4" s="1"/>
  <c r="Y11" i="4"/>
  <c r="Z11" i="4" s="1"/>
  <c r="Y10" i="4"/>
  <c r="Z10" i="4" s="1"/>
  <c r="Y9" i="4"/>
  <c r="Z9" i="4" s="1"/>
  <c r="Y8" i="4"/>
  <c r="Z8" i="4" s="1"/>
  <c r="Y7" i="4"/>
  <c r="Z7" i="4" s="1"/>
  <c r="Y6" i="4"/>
  <c r="Z6" i="4" s="1"/>
  <c r="Y5" i="4"/>
  <c r="Z5" i="4" s="1"/>
  <c r="Y4" i="4"/>
  <c r="Z4" i="4" s="1"/>
  <c r="Y3" i="4"/>
  <c r="W20" i="4"/>
  <c r="X20" i="4" s="1"/>
  <c r="W19" i="4"/>
  <c r="X19" i="4" s="1"/>
  <c r="W18" i="4"/>
  <c r="X18" i="4" s="1"/>
  <c r="W17" i="4"/>
  <c r="X17" i="4" s="1"/>
  <c r="W16" i="4"/>
  <c r="X16" i="4" s="1"/>
  <c r="W15" i="4"/>
  <c r="X15" i="4" s="1"/>
  <c r="W14" i="4"/>
  <c r="X14" i="4" s="1"/>
  <c r="W13" i="4"/>
  <c r="X13" i="4" s="1"/>
  <c r="W12" i="4"/>
  <c r="X12" i="4" s="1"/>
  <c r="W11" i="4"/>
  <c r="X11" i="4" s="1"/>
  <c r="W10" i="4"/>
  <c r="X10" i="4" s="1"/>
  <c r="W9" i="4"/>
  <c r="X9" i="4" s="1"/>
  <c r="W8" i="4"/>
  <c r="X8" i="4" s="1"/>
  <c r="W7" i="4"/>
  <c r="X7" i="4" s="1"/>
  <c r="W6" i="4"/>
  <c r="X6" i="4" s="1"/>
  <c r="W5" i="4"/>
  <c r="X5" i="4" s="1"/>
  <c r="W4" i="4"/>
  <c r="X4" i="4" s="1"/>
  <c r="W3" i="4"/>
  <c r="U20" i="4"/>
  <c r="V20" i="4" s="1"/>
  <c r="U19" i="4"/>
  <c r="V19" i="4" s="1"/>
  <c r="U18" i="4"/>
  <c r="V18" i="4" s="1"/>
  <c r="U17" i="4"/>
  <c r="V17" i="4" s="1"/>
  <c r="U16" i="4"/>
  <c r="V16" i="4" s="1"/>
  <c r="U15" i="4"/>
  <c r="V15" i="4" s="1"/>
  <c r="U14" i="4"/>
  <c r="V14" i="4" s="1"/>
  <c r="U13" i="4"/>
  <c r="V13" i="4" s="1"/>
  <c r="U12" i="4"/>
  <c r="V12" i="4" s="1"/>
  <c r="U11" i="4"/>
  <c r="V11" i="4" s="1"/>
  <c r="U10" i="4"/>
  <c r="V10" i="4" s="1"/>
  <c r="U9" i="4"/>
  <c r="V9" i="4" s="1"/>
  <c r="U8" i="4"/>
  <c r="V8" i="4" s="1"/>
  <c r="U7" i="4"/>
  <c r="V7" i="4" s="1"/>
  <c r="U6" i="4"/>
  <c r="V6" i="4" s="1"/>
  <c r="U5" i="4"/>
  <c r="V5" i="4" s="1"/>
  <c r="U4" i="4"/>
  <c r="V4" i="4" s="1"/>
  <c r="U3" i="4"/>
  <c r="S3" i="4"/>
  <c r="T3" i="4" s="1"/>
  <c r="S4" i="4"/>
  <c r="T4" i="4" s="1"/>
  <c r="S5" i="4"/>
  <c r="T5" i="4" s="1"/>
  <c r="S6" i="4"/>
  <c r="T6" i="4" s="1"/>
  <c r="S7" i="4"/>
  <c r="T7" i="4" s="1"/>
  <c r="S8" i="4"/>
  <c r="T8" i="4" s="1"/>
  <c r="S9" i="4"/>
  <c r="T9" i="4" s="1"/>
  <c r="S10" i="4"/>
  <c r="T10" i="4" s="1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A37" i="4"/>
  <c r="B37" i="4" s="1"/>
  <c r="C37" i="4"/>
  <c r="D37" i="4" s="1"/>
  <c r="E37" i="4"/>
  <c r="F37" i="4" s="1"/>
  <c r="A38" i="4"/>
  <c r="B38" i="4" s="1"/>
  <c r="C38" i="4"/>
  <c r="D38" i="4" s="1"/>
  <c r="E38" i="4"/>
  <c r="F38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E3" i="4"/>
  <c r="F3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23" i="4"/>
  <c r="B23" i="4" s="1"/>
  <c r="A24" i="4"/>
  <c r="B24" i="4" s="1"/>
  <c r="A25" i="4"/>
  <c r="B25" i="4" s="1"/>
  <c r="A26" i="4"/>
  <c r="B26" i="4" s="1"/>
  <c r="A27" i="4"/>
  <c r="B27" i="4" s="1"/>
  <c r="A28" i="4"/>
  <c r="B28" i="4" s="1"/>
  <c r="A29" i="4"/>
  <c r="B29" i="4" s="1"/>
  <c r="A30" i="4"/>
  <c r="B30" i="4" s="1"/>
  <c r="A31" i="4"/>
  <c r="B31" i="4" s="1"/>
  <c r="A32" i="4"/>
  <c r="B32" i="4" s="1"/>
  <c r="A33" i="4"/>
  <c r="B33" i="4" s="1"/>
  <c r="A34" i="4"/>
  <c r="B34" i="4" s="1"/>
  <c r="A35" i="4"/>
  <c r="B35" i="4" s="1"/>
  <c r="A36" i="4"/>
  <c r="B36" i="4" s="1"/>
  <c r="A3" i="4"/>
  <c r="B3" i="4" s="1"/>
  <c r="V3" i="4" l="1"/>
  <c r="AC14" i="4" s="1"/>
  <c r="X3" i="4"/>
  <c r="AF15" i="4" s="1"/>
  <c r="Z3" i="4"/>
  <c r="AC16" i="4" s="1"/>
  <c r="AC13" i="4"/>
  <c r="AC3" i="4"/>
  <c r="AC5" i="4"/>
  <c r="AC4" i="4"/>
  <c r="AE14" i="4"/>
  <c r="AE15" i="4"/>
  <c r="AE13" i="4"/>
  <c r="AF4" i="4"/>
  <c r="AE5" i="4"/>
  <c r="AE16" i="4"/>
  <c r="AE4" i="4"/>
  <c r="AE3" i="4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AF16" i="4" l="1"/>
  <c r="AG16" i="4" s="1"/>
  <c r="AC15" i="4"/>
  <c r="AD15" i="4" s="1"/>
  <c r="K2" i="2"/>
  <c r="AE17" i="4"/>
  <c r="AD16" i="4"/>
  <c r="AG4" i="4"/>
  <c r="AE12" i="4"/>
  <c r="AF13" i="4"/>
  <c r="AG13" i="4" s="1"/>
  <c r="AD4" i="4"/>
  <c r="AD5" i="4"/>
  <c r="AF5" i="4"/>
  <c r="AF3" i="4"/>
  <c r="AF14" i="4"/>
  <c r="AD14" i="4"/>
  <c r="AE18" i="4"/>
  <c r="M5" i="2"/>
  <c r="M4" i="2"/>
  <c r="M3" i="2"/>
  <c r="L24" i="2"/>
  <c r="L20" i="2"/>
  <c r="L16" i="2"/>
  <c r="L12" i="2"/>
  <c r="L8" i="2"/>
  <c r="L4" i="2"/>
  <c r="M24" i="2"/>
  <c r="M20" i="2"/>
  <c r="M16" i="2"/>
  <c r="M12" i="2"/>
  <c r="M8" i="2"/>
  <c r="L23" i="2"/>
  <c r="L19" i="2"/>
  <c r="L15" i="2"/>
  <c r="L11" i="2"/>
  <c r="L7" i="2"/>
  <c r="L3" i="2"/>
  <c r="M23" i="2"/>
  <c r="M19" i="2"/>
  <c r="M15" i="2"/>
  <c r="M11" i="2"/>
  <c r="M7" i="2"/>
  <c r="L2" i="2"/>
  <c r="L22" i="2"/>
  <c r="L18" i="2"/>
  <c r="L14" i="2"/>
  <c r="L10" i="2"/>
  <c r="L6" i="2"/>
  <c r="M2" i="2"/>
  <c r="M22" i="2"/>
  <c r="M18" i="2"/>
  <c r="M14" i="2"/>
  <c r="M10" i="2"/>
  <c r="M6" i="2"/>
  <c r="L25" i="2"/>
  <c r="L21" i="2"/>
  <c r="L17" i="2"/>
  <c r="L13" i="2"/>
  <c r="L9" i="2"/>
  <c r="L5" i="2"/>
  <c r="M25" i="2"/>
  <c r="M21" i="2"/>
  <c r="M17" i="2"/>
  <c r="M13" i="2"/>
  <c r="M9" i="2"/>
  <c r="K3" i="2"/>
  <c r="K22" i="2"/>
  <c r="K18" i="2"/>
  <c r="K14" i="2"/>
  <c r="K10" i="2"/>
  <c r="K6" i="2"/>
  <c r="K25" i="2"/>
  <c r="K21" i="2"/>
  <c r="K17" i="2"/>
  <c r="K13" i="2"/>
  <c r="K9" i="2"/>
  <c r="K5" i="2"/>
  <c r="K24" i="2"/>
  <c r="K20" i="2"/>
  <c r="K16" i="2"/>
  <c r="K12" i="2"/>
  <c r="K8" i="2"/>
  <c r="K4" i="2"/>
  <c r="K23" i="2"/>
  <c r="K19" i="2"/>
  <c r="K15" i="2"/>
  <c r="K11" i="2"/>
  <c r="K7" i="2"/>
  <c r="L1" i="1" l="1"/>
  <c r="H1" i="1"/>
  <c r="O1" i="1"/>
  <c r="V1" i="1"/>
  <c r="AG5" i="4"/>
  <c r="AG3" i="4"/>
  <c r="AG15" i="4"/>
  <c r="AD3" i="4"/>
  <c r="AC12" i="4"/>
  <c r="AD12" i="4" s="1"/>
  <c r="AG14" i="4"/>
  <c r="AF12" i="4"/>
  <c r="AF17" i="4"/>
  <c r="AC17" i="4"/>
  <c r="AD13" i="4"/>
  <c r="AC18" i="4" l="1"/>
  <c r="AD18" i="4" s="1"/>
  <c r="AF18" i="4"/>
  <c r="AG12" i="4"/>
  <c r="AD17" i="4"/>
  <c r="AG17" i="4"/>
  <c r="AG18" i="4" l="1"/>
  <c r="E19" i="3"/>
  <c r="E17" i="3"/>
  <c r="E16" i="3"/>
  <c r="E14" i="3"/>
  <c r="E13" i="3"/>
  <c r="E12" i="3"/>
  <c r="E11" i="3"/>
  <c r="E9" i="3"/>
  <c r="E5" i="3"/>
  <c r="E8" i="3"/>
  <c r="E6" i="3"/>
  <c r="E7" i="3"/>
  <c r="E3" i="3"/>
  <c r="E4" i="3"/>
  <c r="E2" i="3"/>
  <c r="V7" i="1" l="1"/>
  <c r="V20" i="1"/>
  <c r="V32" i="1"/>
  <c r="V5" i="1"/>
  <c r="V9" i="1"/>
  <c r="V13" i="1"/>
  <c r="V17" i="1"/>
  <c r="V21" i="1"/>
  <c r="V25" i="1"/>
  <c r="V29" i="1"/>
  <c r="V33" i="1"/>
  <c r="V2" i="1"/>
  <c r="V6" i="1"/>
  <c r="V10" i="1"/>
  <c r="V14" i="1"/>
  <c r="V18" i="1"/>
  <c r="V22" i="1"/>
  <c r="V26" i="1"/>
  <c r="V30" i="1"/>
  <c r="V34" i="1"/>
  <c r="V3" i="1"/>
  <c r="V11" i="1"/>
  <c r="V15" i="1"/>
  <c r="V19" i="1"/>
  <c r="V23" i="1"/>
  <c r="V27" i="1"/>
  <c r="V31" i="1"/>
  <c r="V35" i="1"/>
  <c r="V4" i="1"/>
  <c r="V8" i="1"/>
  <c r="V12" i="1"/>
  <c r="V16" i="1"/>
  <c r="V24" i="1"/>
  <c r="V28" i="1"/>
  <c r="V36" i="1"/>
  <c r="O2" i="1"/>
  <c r="O26" i="1"/>
  <c r="C26" i="1" s="1"/>
  <c r="I28" i="4" s="1"/>
  <c r="J28" i="4" s="1"/>
  <c r="O3" i="1"/>
  <c r="C3" i="1" s="1"/>
  <c r="I5" i="4" s="1"/>
  <c r="J5" i="4" s="1"/>
  <c r="O7" i="1"/>
  <c r="C7" i="1" s="1"/>
  <c r="I9" i="4" s="1"/>
  <c r="J9" i="4" s="1"/>
  <c r="O11" i="1"/>
  <c r="C11" i="1" s="1"/>
  <c r="I13" i="4" s="1"/>
  <c r="J13" i="4" s="1"/>
  <c r="O15" i="1"/>
  <c r="C15" i="1" s="1"/>
  <c r="I17" i="4" s="1"/>
  <c r="J17" i="4" s="1"/>
  <c r="O19" i="1"/>
  <c r="C19" i="1" s="1"/>
  <c r="I21" i="4" s="1"/>
  <c r="J21" i="4" s="1"/>
  <c r="O23" i="1"/>
  <c r="C23" i="1" s="1"/>
  <c r="I25" i="4" s="1"/>
  <c r="J25" i="4" s="1"/>
  <c r="O27" i="1"/>
  <c r="C27" i="1" s="1"/>
  <c r="I29" i="4" s="1"/>
  <c r="J29" i="4" s="1"/>
  <c r="O31" i="1"/>
  <c r="C31" i="1" s="1"/>
  <c r="I33" i="4" s="1"/>
  <c r="J33" i="4" s="1"/>
  <c r="O35" i="1"/>
  <c r="C35" i="1" s="1"/>
  <c r="I37" i="4" s="1"/>
  <c r="J37" i="4" s="1"/>
  <c r="O4" i="1"/>
  <c r="C4" i="1" s="1"/>
  <c r="I6" i="4" s="1"/>
  <c r="J6" i="4" s="1"/>
  <c r="O8" i="1"/>
  <c r="C8" i="1" s="1"/>
  <c r="I10" i="4" s="1"/>
  <c r="J10" i="4" s="1"/>
  <c r="O12" i="1"/>
  <c r="C12" i="1" s="1"/>
  <c r="I14" i="4" s="1"/>
  <c r="J14" i="4" s="1"/>
  <c r="O16" i="1"/>
  <c r="C16" i="1" s="1"/>
  <c r="I18" i="4" s="1"/>
  <c r="J18" i="4" s="1"/>
  <c r="O20" i="1"/>
  <c r="C20" i="1" s="1"/>
  <c r="I22" i="4" s="1"/>
  <c r="J22" i="4" s="1"/>
  <c r="O24" i="1"/>
  <c r="C24" i="1" s="1"/>
  <c r="I26" i="4" s="1"/>
  <c r="J26" i="4" s="1"/>
  <c r="O28" i="1"/>
  <c r="C28" i="1" s="1"/>
  <c r="I30" i="4" s="1"/>
  <c r="J30" i="4" s="1"/>
  <c r="O32" i="1"/>
  <c r="C32" i="1" s="1"/>
  <c r="I34" i="4" s="1"/>
  <c r="J34" i="4" s="1"/>
  <c r="O36" i="1"/>
  <c r="C36" i="1" s="1"/>
  <c r="I38" i="4" s="1"/>
  <c r="J38" i="4" s="1"/>
  <c r="O5" i="1"/>
  <c r="C5" i="1" s="1"/>
  <c r="I7" i="4" s="1"/>
  <c r="J7" i="4" s="1"/>
  <c r="O9" i="1"/>
  <c r="C9" i="1" s="1"/>
  <c r="I11" i="4" s="1"/>
  <c r="J11" i="4" s="1"/>
  <c r="O13" i="1"/>
  <c r="C13" i="1" s="1"/>
  <c r="I15" i="4" s="1"/>
  <c r="J15" i="4" s="1"/>
  <c r="O17" i="1"/>
  <c r="C17" i="1" s="1"/>
  <c r="I19" i="4" s="1"/>
  <c r="J19" i="4" s="1"/>
  <c r="O21" i="1"/>
  <c r="C21" i="1" s="1"/>
  <c r="I23" i="4" s="1"/>
  <c r="J23" i="4" s="1"/>
  <c r="O25" i="1"/>
  <c r="C25" i="1" s="1"/>
  <c r="I27" i="4" s="1"/>
  <c r="J27" i="4" s="1"/>
  <c r="O29" i="1"/>
  <c r="C29" i="1" s="1"/>
  <c r="I31" i="4" s="1"/>
  <c r="J31" i="4" s="1"/>
  <c r="O33" i="1"/>
  <c r="C33" i="1" s="1"/>
  <c r="I35" i="4" s="1"/>
  <c r="J35" i="4" s="1"/>
  <c r="O6" i="1"/>
  <c r="C6" i="1" s="1"/>
  <c r="I8" i="4" s="1"/>
  <c r="J8" i="4" s="1"/>
  <c r="O10" i="1"/>
  <c r="C10" i="1" s="1"/>
  <c r="I12" i="4" s="1"/>
  <c r="J12" i="4" s="1"/>
  <c r="O14" i="1"/>
  <c r="C14" i="1" s="1"/>
  <c r="I16" i="4" s="1"/>
  <c r="J16" i="4" s="1"/>
  <c r="O18" i="1"/>
  <c r="C18" i="1" s="1"/>
  <c r="I20" i="4" s="1"/>
  <c r="J20" i="4" s="1"/>
  <c r="O22" i="1"/>
  <c r="C22" i="1" s="1"/>
  <c r="I24" i="4" s="1"/>
  <c r="J24" i="4" s="1"/>
  <c r="O30" i="1"/>
  <c r="C30" i="1" s="1"/>
  <c r="I32" i="4" s="1"/>
  <c r="J32" i="4" s="1"/>
  <c r="O34" i="1"/>
  <c r="C34" i="1" s="1"/>
  <c r="I36" i="4" s="1"/>
  <c r="J36" i="4" s="1"/>
  <c r="H3" i="1"/>
  <c r="L28" i="1"/>
  <c r="H17" i="1"/>
  <c r="L4" i="1"/>
  <c r="H33" i="1"/>
  <c r="H32" i="1"/>
  <c r="L11" i="1"/>
  <c r="L31" i="1"/>
  <c r="H30" i="1"/>
  <c r="L9" i="1"/>
  <c r="L30" i="1"/>
  <c r="H35" i="1"/>
  <c r="H26" i="1"/>
  <c r="H11" i="1"/>
  <c r="L12" i="1"/>
  <c r="L2" i="1"/>
  <c r="L33" i="1"/>
  <c r="H34" i="1"/>
  <c r="H15" i="1"/>
  <c r="L32" i="1"/>
  <c r="L35" i="1"/>
  <c r="H5" i="1"/>
  <c r="L7" i="1"/>
  <c r="H10" i="1"/>
  <c r="L27" i="1"/>
  <c r="H36" i="1"/>
  <c r="L15" i="1"/>
  <c r="H27" i="1"/>
  <c r="L21" i="1"/>
  <c r="H8" i="1"/>
  <c r="H25" i="1"/>
  <c r="L23" i="1"/>
  <c r="L13" i="1"/>
  <c r="H14" i="1"/>
  <c r="L18" i="1"/>
  <c r="L16" i="1"/>
  <c r="H16" i="1"/>
  <c r="H4" i="1"/>
  <c r="L36" i="1"/>
  <c r="H20" i="1"/>
  <c r="L29" i="1"/>
  <c r="L10" i="1"/>
  <c r="H19" i="1"/>
  <c r="L17" i="1"/>
  <c r="H21" i="1"/>
  <c r="L5" i="1"/>
  <c r="H7" i="1"/>
  <c r="L20" i="1"/>
  <c r="H12" i="1"/>
  <c r="L34" i="1"/>
  <c r="L19" i="1"/>
  <c r="H6" i="1"/>
  <c r="H31" i="1"/>
  <c r="L8" i="1"/>
  <c r="L25" i="1"/>
  <c r="H13" i="1"/>
  <c r="H29" i="1"/>
  <c r="H23" i="1"/>
  <c r="L22" i="1"/>
  <c r="H22" i="1"/>
  <c r="H9" i="1"/>
  <c r="L24" i="1"/>
  <c r="H24" i="1"/>
  <c r="L6" i="1"/>
  <c r="H18" i="1"/>
  <c r="L3" i="1"/>
  <c r="H28" i="1"/>
  <c r="H2" i="1"/>
  <c r="L14" i="1"/>
  <c r="L26" i="1"/>
  <c r="C2" i="1" l="1"/>
  <c r="I4" i="4" s="1"/>
  <c r="J4" i="4" s="1"/>
  <c r="AE1" i="1"/>
  <c r="AG1" i="1"/>
  <c r="AF1" i="1"/>
  <c r="AH1" i="1"/>
  <c r="AI1" i="1"/>
  <c r="AJ1" i="1"/>
  <c r="C1" i="1"/>
  <c r="I3" i="4" s="1"/>
  <c r="J3" i="4" s="1"/>
  <c r="AE3" i="1"/>
  <c r="AE7" i="1"/>
  <c r="AE11" i="1"/>
  <c r="AE15" i="1"/>
  <c r="AE19" i="1"/>
  <c r="AE23" i="1"/>
  <c r="AE5" i="1"/>
  <c r="AE13" i="1"/>
  <c r="AE21" i="1"/>
  <c r="AE2" i="1"/>
  <c r="AE10" i="1"/>
  <c r="AE18" i="1"/>
  <c r="AE4" i="1"/>
  <c r="AE8" i="1"/>
  <c r="AE12" i="1"/>
  <c r="AE16" i="1"/>
  <c r="AE20" i="1"/>
  <c r="AE24" i="1"/>
  <c r="AE9" i="1"/>
  <c r="AE17" i="1"/>
  <c r="AE6" i="1"/>
  <c r="AE14" i="1"/>
  <c r="AE22" i="1"/>
  <c r="Q35" i="4"/>
  <c r="R35" i="4" s="1"/>
  <c r="O35" i="4"/>
  <c r="P35" i="4" s="1"/>
  <c r="K35" i="4"/>
  <c r="L35" i="4" s="1"/>
  <c r="M35" i="4"/>
  <c r="N35" i="4" s="1"/>
  <c r="G35" i="4"/>
  <c r="H35" i="4" s="1"/>
  <c r="G38" i="4"/>
  <c r="H38" i="4" s="1"/>
  <c r="O38" i="4"/>
  <c r="P38" i="4" s="1"/>
  <c r="Q38" i="4"/>
  <c r="R38" i="4" s="1"/>
  <c r="M38" i="4"/>
  <c r="N38" i="4" s="1"/>
  <c r="K38" i="4"/>
  <c r="L38" i="4" s="1"/>
  <c r="O9" i="4"/>
  <c r="P9" i="4" s="1"/>
  <c r="Q9" i="4"/>
  <c r="R9" i="4" s="1"/>
  <c r="M9" i="4"/>
  <c r="N9" i="4" s="1"/>
  <c r="G9" i="4"/>
  <c r="H9" i="4" s="1"/>
  <c r="K9" i="4"/>
  <c r="L9" i="4" s="1"/>
  <c r="O36" i="4"/>
  <c r="P36" i="4" s="1"/>
  <c r="K36" i="4"/>
  <c r="L36" i="4" s="1"/>
  <c r="G36" i="4"/>
  <c r="H36" i="4" s="1"/>
  <c r="Q36" i="4"/>
  <c r="R36" i="4" s="1"/>
  <c r="M36" i="4"/>
  <c r="N36" i="4" s="1"/>
  <c r="O16" i="4"/>
  <c r="P16" i="4" s="1"/>
  <c r="K16" i="4"/>
  <c r="L16" i="4" s="1"/>
  <c r="G16" i="4"/>
  <c r="H16" i="4" s="1"/>
  <c r="Q16" i="4"/>
  <c r="R16" i="4" s="1"/>
  <c r="M16" i="4"/>
  <c r="N16" i="4" s="1"/>
  <c r="O31" i="4"/>
  <c r="P31" i="4" s="1"/>
  <c r="K31" i="4"/>
  <c r="L31" i="4" s="1"/>
  <c r="Q31" i="4"/>
  <c r="R31" i="4" s="1"/>
  <c r="M31" i="4"/>
  <c r="N31" i="4" s="1"/>
  <c r="G31" i="4"/>
  <c r="H31" i="4" s="1"/>
  <c r="G15" i="4"/>
  <c r="H15" i="4" s="1"/>
  <c r="O15" i="4"/>
  <c r="P15" i="4" s="1"/>
  <c r="K15" i="4"/>
  <c r="L15" i="4" s="1"/>
  <c r="Q15" i="4"/>
  <c r="R15" i="4" s="1"/>
  <c r="M15" i="4"/>
  <c r="N15" i="4" s="1"/>
  <c r="Q34" i="4"/>
  <c r="R34" i="4" s="1"/>
  <c r="M34" i="4"/>
  <c r="N34" i="4" s="1"/>
  <c r="O34" i="4"/>
  <c r="P34" i="4" s="1"/>
  <c r="K34" i="4"/>
  <c r="L34" i="4" s="1"/>
  <c r="G34" i="4"/>
  <c r="H34" i="4" s="1"/>
  <c r="Q18" i="4"/>
  <c r="R18" i="4" s="1"/>
  <c r="M18" i="4"/>
  <c r="N18" i="4" s="1"/>
  <c r="O18" i="4"/>
  <c r="P18" i="4" s="1"/>
  <c r="K18" i="4"/>
  <c r="L18" i="4" s="1"/>
  <c r="G18" i="4"/>
  <c r="H18" i="4" s="1"/>
  <c r="Q37" i="4"/>
  <c r="R37" i="4" s="1"/>
  <c r="O37" i="4"/>
  <c r="P37" i="4" s="1"/>
  <c r="K37" i="4"/>
  <c r="L37" i="4" s="1"/>
  <c r="G37" i="4"/>
  <c r="H37" i="4" s="1"/>
  <c r="M37" i="4"/>
  <c r="N37" i="4" s="1"/>
  <c r="O21" i="4"/>
  <c r="P21" i="4" s="1"/>
  <c r="Q21" i="4"/>
  <c r="R21" i="4" s="1"/>
  <c r="M21" i="4"/>
  <c r="N21" i="4" s="1"/>
  <c r="G21" i="4"/>
  <c r="H21" i="4" s="1"/>
  <c r="K21" i="4"/>
  <c r="L21" i="4" s="1"/>
  <c r="K5" i="4"/>
  <c r="L5" i="4" s="1"/>
  <c r="Q5" i="4"/>
  <c r="R5" i="4" s="1"/>
  <c r="M5" i="4"/>
  <c r="N5" i="4" s="1"/>
  <c r="G5" i="4"/>
  <c r="H5" i="4" s="1"/>
  <c r="O5" i="4"/>
  <c r="P5" i="4" s="1"/>
  <c r="Q19" i="4"/>
  <c r="R19" i="4" s="1"/>
  <c r="G19" i="4"/>
  <c r="H19" i="4" s="1"/>
  <c r="O19" i="4"/>
  <c r="P19" i="4" s="1"/>
  <c r="K19" i="4"/>
  <c r="L19" i="4" s="1"/>
  <c r="M19" i="4"/>
  <c r="N19" i="4" s="1"/>
  <c r="Q6" i="4"/>
  <c r="R6" i="4" s="1"/>
  <c r="M6" i="4"/>
  <c r="N6" i="4" s="1"/>
  <c r="O6" i="4"/>
  <c r="P6" i="4" s="1"/>
  <c r="K6" i="4"/>
  <c r="L6" i="4" s="1"/>
  <c r="G6" i="4"/>
  <c r="H6" i="4" s="1"/>
  <c r="O32" i="4"/>
  <c r="P32" i="4" s="1"/>
  <c r="K32" i="4"/>
  <c r="L32" i="4" s="1"/>
  <c r="G32" i="4"/>
  <c r="H32" i="4" s="1"/>
  <c r="Q32" i="4"/>
  <c r="R32" i="4" s="1"/>
  <c r="M32" i="4"/>
  <c r="N32" i="4" s="1"/>
  <c r="O12" i="4"/>
  <c r="P12" i="4" s="1"/>
  <c r="K12" i="4"/>
  <c r="L12" i="4" s="1"/>
  <c r="G12" i="4"/>
  <c r="H12" i="4" s="1"/>
  <c r="Q12" i="4"/>
  <c r="R12" i="4" s="1"/>
  <c r="M12" i="4"/>
  <c r="N12" i="4" s="1"/>
  <c r="Q27" i="4"/>
  <c r="R27" i="4" s="1"/>
  <c r="O27" i="4"/>
  <c r="P27" i="4" s="1"/>
  <c r="K27" i="4"/>
  <c r="L27" i="4" s="1"/>
  <c r="G27" i="4"/>
  <c r="H27" i="4" s="1"/>
  <c r="M27" i="4"/>
  <c r="N27" i="4" s="1"/>
  <c r="M11" i="4"/>
  <c r="N11" i="4" s="1"/>
  <c r="O11" i="4"/>
  <c r="P11" i="4" s="1"/>
  <c r="K11" i="4"/>
  <c r="L11" i="4" s="1"/>
  <c r="Q11" i="4"/>
  <c r="R11" i="4" s="1"/>
  <c r="G11" i="4"/>
  <c r="H11" i="4" s="1"/>
  <c r="Q30" i="4"/>
  <c r="R30" i="4" s="1"/>
  <c r="M30" i="4"/>
  <c r="N30" i="4" s="1"/>
  <c r="O30" i="4"/>
  <c r="P30" i="4" s="1"/>
  <c r="K30" i="4"/>
  <c r="L30" i="4" s="1"/>
  <c r="G30" i="4"/>
  <c r="H30" i="4" s="1"/>
  <c r="Q14" i="4"/>
  <c r="R14" i="4" s="1"/>
  <c r="M14" i="4"/>
  <c r="N14" i="4" s="1"/>
  <c r="O14" i="4"/>
  <c r="P14" i="4" s="1"/>
  <c r="K14" i="4"/>
  <c r="L14" i="4" s="1"/>
  <c r="G14" i="4"/>
  <c r="H14" i="4" s="1"/>
  <c r="O33" i="4"/>
  <c r="P33" i="4" s="1"/>
  <c r="K33" i="4"/>
  <c r="L33" i="4" s="1"/>
  <c r="Q33" i="4"/>
  <c r="R33" i="4" s="1"/>
  <c r="M33" i="4"/>
  <c r="N33" i="4" s="1"/>
  <c r="G33" i="4"/>
  <c r="H33" i="4" s="1"/>
  <c r="K17" i="4"/>
  <c r="L17" i="4" s="1"/>
  <c r="Q17" i="4"/>
  <c r="R17" i="4" s="1"/>
  <c r="M17" i="4"/>
  <c r="N17" i="4" s="1"/>
  <c r="G17" i="4"/>
  <c r="H17" i="4" s="1"/>
  <c r="O17" i="4"/>
  <c r="P17" i="4" s="1"/>
  <c r="O28" i="4"/>
  <c r="P28" i="4" s="1"/>
  <c r="K28" i="4"/>
  <c r="L28" i="4" s="1"/>
  <c r="G28" i="4"/>
  <c r="H28" i="4" s="1"/>
  <c r="Q28" i="4"/>
  <c r="R28" i="4" s="1"/>
  <c r="M28" i="4"/>
  <c r="N28" i="4" s="1"/>
  <c r="O20" i="4"/>
  <c r="P20" i="4" s="1"/>
  <c r="K20" i="4"/>
  <c r="L20" i="4" s="1"/>
  <c r="G20" i="4"/>
  <c r="H20" i="4" s="1"/>
  <c r="Q20" i="4"/>
  <c r="R20" i="4" s="1"/>
  <c r="M20" i="4"/>
  <c r="N20" i="4" s="1"/>
  <c r="Q22" i="4"/>
  <c r="R22" i="4" s="1"/>
  <c r="M22" i="4"/>
  <c r="N22" i="4" s="1"/>
  <c r="O22" i="4"/>
  <c r="P22" i="4" s="1"/>
  <c r="K22" i="4"/>
  <c r="L22" i="4" s="1"/>
  <c r="G22" i="4"/>
  <c r="H22" i="4" s="1"/>
  <c r="Q25" i="4"/>
  <c r="R25" i="4" s="1"/>
  <c r="M25" i="4"/>
  <c r="N25" i="4" s="1"/>
  <c r="G25" i="4"/>
  <c r="H25" i="4" s="1"/>
  <c r="O25" i="4"/>
  <c r="P25" i="4" s="1"/>
  <c r="K25" i="4"/>
  <c r="L25" i="4" s="1"/>
  <c r="O24" i="4"/>
  <c r="P24" i="4" s="1"/>
  <c r="K24" i="4"/>
  <c r="L24" i="4" s="1"/>
  <c r="G24" i="4"/>
  <c r="H24" i="4" s="1"/>
  <c r="Q24" i="4"/>
  <c r="R24" i="4" s="1"/>
  <c r="M24" i="4"/>
  <c r="N24" i="4" s="1"/>
  <c r="O8" i="4"/>
  <c r="P8" i="4" s="1"/>
  <c r="K8" i="4"/>
  <c r="L8" i="4" s="1"/>
  <c r="G8" i="4"/>
  <c r="H8" i="4" s="1"/>
  <c r="Q8" i="4"/>
  <c r="R8" i="4" s="1"/>
  <c r="M8" i="4"/>
  <c r="N8" i="4" s="1"/>
  <c r="M23" i="4"/>
  <c r="N23" i="4" s="1"/>
  <c r="O23" i="4"/>
  <c r="P23" i="4" s="1"/>
  <c r="K23" i="4"/>
  <c r="L23" i="4" s="1"/>
  <c r="Q23" i="4"/>
  <c r="R23" i="4" s="1"/>
  <c r="G23" i="4"/>
  <c r="H23" i="4" s="1"/>
  <c r="Q7" i="4"/>
  <c r="R7" i="4" s="1"/>
  <c r="O7" i="4"/>
  <c r="P7" i="4" s="1"/>
  <c r="K7" i="4"/>
  <c r="L7" i="4" s="1"/>
  <c r="G7" i="4"/>
  <c r="H7" i="4" s="1"/>
  <c r="M7" i="4"/>
  <c r="N7" i="4" s="1"/>
  <c r="Q26" i="4"/>
  <c r="R26" i="4" s="1"/>
  <c r="M26" i="4"/>
  <c r="N26" i="4" s="1"/>
  <c r="O26" i="4"/>
  <c r="P26" i="4" s="1"/>
  <c r="K26" i="4"/>
  <c r="L26" i="4" s="1"/>
  <c r="G26" i="4"/>
  <c r="H26" i="4" s="1"/>
  <c r="Q10" i="4"/>
  <c r="R10" i="4" s="1"/>
  <c r="M10" i="4"/>
  <c r="N10" i="4" s="1"/>
  <c r="O10" i="4"/>
  <c r="P10" i="4" s="1"/>
  <c r="K10" i="4"/>
  <c r="L10" i="4" s="1"/>
  <c r="G10" i="4"/>
  <c r="H10" i="4" s="1"/>
  <c r="Q29" i="4"/>
  <c r="R29" i="4" s="1"/>
  <c r="M29" i="4"/>
  <c r="N29" i="4" s="1"/>
  <c r="G29" i="4"/>
  <c r="H29" i="4" s="1"/>
  <c r="O29" i="4"/>
  <c r="P29" i="4" s="1"/>
  <c r="K29" i="4"/>
  <c r="L29" i="4" s="1"/>
  <c r="Q13" i="4"/>
  <c r="R13" i="4" s="1"/>
  <c r="M13" i="4"/>
  <c r="N13" i="4" s="1"/>
  <c r="G13" i="4"/>
  <c r="H13" i="4" s="1"/>
  <c r="O13" i="4"/>
  <c r="P13" i="4" s="1"/>
  <c r="K13" i="4"/>
  <c r="L13" i="4" s="1"/>
  <c r="O4" i="4"/>
  <c r="P4" i="4" s="1"/>
  <c r="K4" i="4"/>
  <c r="L4" i="4" s="1"/>
  <c r="G4" i="4"/>
  <c r="H4" i="4" s="1"/>
  <c r="Q4" i="4"/>
  <c r="R4" i="4" s="1"/>
  <c r="M4" i="4"/>
  <c r="N4" i="4" s="1"/>
  <c r="AF10" i="1"/>
  <c r="AG9" i="1"/>
  <c r="AG7" i="1"/>
  <c r="AG23" i="1"/>
  <c r="AH3" i="1"/>
  <c r="AG14" i="1"/>
  <c r="AF17" i="1"/>
  <c r="AF4" i="1"/>
  <c r="AI12" i="1"/>
  <c r="AJ11" i="1"/>
  <c r="AJ23" i="1"/>
  <c r="AH8" i="1"/>
  <c r="AF3" i="1"/>
  <c r="AH18" i="1"/>
  <c r="AH13" i="1"/>
  <c r="AG3" i="1"/>
  <c r="AG12" i="1"/>
  <c r="AH23" i="1"/>
  <c r="AF16" i="1"/>
  <c r="AI2" i="1"/>
  <c r="AH11" i="1"/>
  <c r="AF15" i="1"/>
  <c r="AI21" i="1"/>
  <c r="AI11" i="1"/>
  <c r="AJ20" i="1"/>
  <c r="AJ10" i="1"/>
  <c r="AG8" i="1"/>
  <c r="AH16" i="1"/>
  <c r="AH20" i="1"/>
  <c r="AH22" i="1"/>
  <c r="AG18" i="1"/>
  <c r="AH17" i="1"/>
  <c r="AG13" i="1"/>
  <c r="AH10" i="1"/>
  <c r="AG6" i="1"/>
  <c r="AH5" i="1"/>
  <c r="AI22" i="1"/>
  <c r="AF9" i="1"/>
  <c r="AF2" i="1"/>
  <c r="AF8" i="1"/>
  <c r="AF23" i="1"/>
  <c r="AI8" i="1"/>
  <c r="AJ14" i="1"/>
  <c r="AJ24" i="1"/>
  <c r="AH14" i="1"/>
  <c r="AJ12" i="1"/>
  <c r="AG10" i="1"/>
  <c r="AJ3" i="1"/>
  <c r="AH9" i="1"/>
  <c r="AJ2" i="1"/>
  <c r="AG5" i="1"/>
  <c r="AG19" i="1"/>
  <c r="AH2" i="1"/>
  <c r="AF12" i="1"/>
  <c r="AI20" i="1"/>
  <c r="AF11" i="1"/>
  <c r="AI19" i="1"/>
  <c r="AF6" i="1"/>
  <c r="AI10" i="1"/>
  <c r="AF18" i="1"/>
  <c r="AF24" i="1"/>
  <c r="AH7" i="1"/>
  <c r="AH12" i="1"/>
  <c r="AJ6" i="1"/>
  <c r="AJ7" i="1"/>
  <c r="AJ16" i="1"/>
  <c r="AG15" i="1"/>
  <c r="AG20" i="1"/>
  <c r="AG21" i="1"/>
  <c r="AG24" i="1"/>
  <c r="AI14" i="1"/>
  <c r="AI23" i="1"/>
  <c r="AI24" i="1"/>
  <c r="AH4" i="1"/>
  <c r="AI5" i="1"/>
  <c r="AJ19" i="1"/>
  <c r="AJ18" i="1"/>
  <c r="AJ9" i="1"/>
  <c r="AJ4" i="1"/>
  <c r="AF5" i="1"/>
  <c r="AF22" i="1"/>
  <c r="AG4" i="1"/>
  <c r="AJ8" i="1"/>
  <c r="AF7" i="1"/>
  <c r="AJ13" i="1"/>
  <c r="AJ21" i="1"/>
  <c r="AJ5" i="1"/>
  <c r="AJ15" i="1"/>
  <c r="AH6" i="1"/>
  <c r="AF20" i="1"/>
  <c r="AG2" i="1"/>
  <c r="AF19" i="1"/>
  <c r="AF14" i="1"/>
  <c r="AI18" i="1"/>
  <c r="AF13" i="1"/>
  <c r="AI13" i="1"/>
  <c r="AG22" i="1"/>
  <c r="AI4" i="1"/>
  <c r="AH21" i="1"/>
  <c r="AI3" i="1"/>
  <c r="AG17" i="1"/>
  <c r="AJ17" i="1"/>
  <c r="AF21" i="1"/>
  <c r="AH19" i="1"/>
  <c r="AH24" i="1"/>
  <c r="AI6" i="1"/>
  <c r="AI15" i="1"/>
  <c r="AI16" i="1"/>
  <c r="AJ22" i="1"/>
  <c r="AI9" i="1"/>
  <c r="AI7" i="1"/>
  <c r="AI17" i="1"/>
  <c r="AG11" i="1"/>
  <c r="AH15" i="1"/>
  <c r="AG16" i="1"/>
  <c r="AK1" i="1" l="1"/>
  <c r="AL1" i="1"/>
  <c r="AK6" i="1"/>
  <c r="AK14" i="1"/>
  <c r="AC7" i="4"/>
  <c r="AK4" i="1"/>
  <c r="AK13" i="1"/>
  <c r="G3" i="4"/>
  <c r="H3" i="4" s="1"/>
  <c r="K3" i="4"/>
  <c r="L3" i="4" s="1"/>
  <c r="M3" i="4"/>
  <c r="N3" i="4" s="1"/>
  <c r="O3" i="4"/>
  <c r="P3" i="4" s="1"/>
  <c r="Q3" i="4"/>
  <c r="R3" i="4" s="1"/>
  <c r="AE7" i="4"/>
  <c r="AK16" i="1"/>
  <c r="AL4" i="1"/>
  <c r="AM4" i="1" s="1"/>
  <c r="AK23" i="1"/>
  <c r="AL14" i="1"/>
  <c r="AL20" i="1"/>
  <c r="AL12" i="1"/>
  <c r="AK21" i="1"/>
  <c r="AK18" i="1"/>
  <c r="AK10" i="1"/>
  <c r="AL10" i="1"/>
  <c r="AL21" i="1"/>
  <c r="AL13" i="1"/>
  <c r="AM13" i="1" s="1"/>
  <c r="AL2" i="1"/>
  <c r="AL16" i="1"/>
  <c r="AL22" i="1"/>
  <c r="AL24" i="1"/>
  <c r="AL6" i="1"/>
  <c r="AL9" i="1"/>
  <c r="AK2" i="1"/>
  <c r="AK12" i="1"/>
  <c r="AL15" i="1"/>
  <c r="AL7" i="1"/>
  <c r="AL18" i="1"/>
  <c r="AL11" i="1"/>
  <c r="AK24" i="1"/>
  <c r="AL8" i="1"/>
  <c r="AK15" i="1"/>
  <c r="AL19" i="1"/>
  <c r="AK7" i="1"/>
  <c r="AK19" i="1"/>
  <c r="AL23" i="1"/>
  <c r="AK22" i="1"/>
  <c r="AK8" i="1"/>
  <c r="AK20" i="1"/>
  <c r="AL5" i="1"/>
  <c r="AL17" i="1"/>
  <c r="AK11" i="1"/>
  <c r="AL3" i="1"/>
  <c r="AK17" i="1"/>
  <c r="AK5" i="1"/>
  <c r="AK9" i="1"/>
  <c r="AK3" i="1"/>
  <c r="AM10" i="1" l="1"/>
  <c r="AM14" i="1"/>
  <c r="AM19" i="1"/>
  <c r="AM3" i="1"/>
  <c r="AM1" i="1"/>
  <c r="AM8" i="1"/>
  <c r="AM23" i="1"/>
  <c r="AM5" i="1"/>
  <c r="AM18" i="1"/>
  <c r="AM6" i="1"/>
  <c r="AM17" i="1"/>
  <c r="AM21" i="1"/>
  <c r="AM20" i="1"/>
  <c r="AM24" i="1"/>
  <c r="AM7" i="1"/>
  <c r="AM15" i="1"/>
  <c r="AM22" i="1"/>
  <c r="AM16" i="1"/>
  <c r="AM2" i="1"/>
  <c r="AM11" i="1"/>
  <c r="AM9" i="1"/>
  <c r="AM12" i="1"/>
  <c r="AC9" i="4"/>
  <c r="AC6" i="4"/>
  <c r="AC10" i="4"/>
  <c r="AF8" i="4"/>
  <c r="AC11" i="4"/>
  <c r="AE6" i="4"/>
  <c r="AE10" i="4"/>
  <c r="AE9" i="4"/>
  <c r="AF9" i="4"/>
  <c r="AE11" i="4"/>
  <c r="AE8" i="4"/>
  <c r="AF7" i="4"/>
  <c r="AF6" i="4" l="1"/>
  <c r="AG6" i="4" s="1"/>
  <c r="AC8" i="4"/>
  <c r="AD8" i="4" s="1"/>
  <c r="AF10" i="4"/>
  <c r="AG10" i="4" s="1"/>
  <c r="AG9" i="4"/>
  <c r="AF11" i="4"/>
  <c r="AG11" i="4" s="1"/>
  <c r="AN3" i="1"/>
  <c r="AN9" i="1"/>
  <c r="AD9" i="4"/>
  <c r="AG7" i="4"/>
  <c r="AD7" i="4"/>
  <c r="AD11" i="4"/>
  <c r="AD10" i="4"/>
  <c r="AD6" i="4"/>
  <c r="AN5" i="1"/>
  <c r="AN7" i="1"/>
  <c r="AN23" i="1"/>
  <c r="AN20" i="1"/>
  <c r="AN13" i="1"/>
  <c r="AN8" i="1"/>
  <c r="AN24" i="1"/>
  <c r="AN6" i="1"/>
  <c r="AN11" i="1"/>
  <c r="AN2" i="1"/>
  <c r="AN12" i="1"/>
  <c r="AN18" i="1"/>
  <c r="AN4" i="1"/>
  <c r="AN21" i="1"/>
  <c r="AN22" i="1"/>
  <c r="AN1" i="1"/>
  <c r="AN19" i="1"/>
  <c r="AN15" i="1"/>
  <c r="AN10" i="1"/>
  <c r="AN17" i="1"/>
  <c r="AN16" i="1"/>
  <c r="AN14" i="1"/>
  <c r="AG8" i="4" l="1"/>
  <c r="AO13" i="1"/>
  <c r="AP13" i="1" s="1"/>
  <c r="A15" i="5" s="1"/>
  <c r="AO15" i="1"/>
  <c r="AP15" i="1" s="1"/>
  <c r="A17" i="5" s="1"/>
  <c r="AO16" i="1"/>
  <c r="AP16" i="1" s="1"/>
  <c r="A18" i="5" s="1"/>
  <c r="AO14" i="1"/>
  <c r="AP14" i="1" s="1"/>
  <c r="A16" i="5" s="1"/>
  <c r="AO1" i="1"/>
  <c r="AO2" i="1"/>
  <c r="AO6" i="1"/>
  <c r="AO5" i="1"/>
  <c r="AO7" i="1"/>
  <c r="AO8" i="1"/>
  <c r="AO3" i="1"/>
  <c r="AO4" i="1"/>
  <c r="AO10" i="1"/>
  <c r="AO11" i="1"/>
  <c r="AO12" i="1"/>
  <c r="AO9" i="1"/>
  <c r="AO18" i="1"/>
  <c r="AO17" i="1"/>
  <c r="AO19" i="1"/>
  <c r="AO20" i="1"/>
  <c r="AO22" i="1"/>
  <c r="AO23" i="1"/>
  <c r="AO21" i="1"/>
  <c r="AO24" i="1"/>
  <c r="C18" i="5" l="1"/>
  <c r="B18" i="5"/>
  <c r="D18" i="5"/>
  <c r="B17" i="5"/>
  <c r="D17" i="5"/>
  <c r="N6" i="5"/>
  <c r="C17" i="5"/>
  <c r="B15" i="5"/>
  <c r="D15" i="5"/>
  <c r="C15" i="5"/>
  <c r="C16" i="5"/>
  <c r="D16" i="5"/>
  <c r="B16" i="5"/>
  <c r="BH29" i="1"/>
  <c r="AL29" i="1"/>
  <c r="AM29" i="1" s="1"/>
  <c r="AQ13" i="1"/>
  <c r="AQ14" i="1"/>
  <c r="AP20" i="1"/>
  <c r="A22" i="5" s="1"/>
  <c r="AP5" i="1"/>
  <c r="A7" i="5" s="1"/>
  <c r="AP21" i="1"/>
  <c r="A23" i="5" s="1"/>
  <c r="AP19" i="1"/>
  <c r="A21" i="5" s="1"/>
  <c r="AP12" i="1"/>
  <c r="A14" i="5" s="1"/>
  <c r="AP3" i="1"/>
  <c r="A5" i="5" s="1"/>
  <c r="AP6" i="1"/>
  <c r="A8" i="5" s="1"/>
  <c r="AP9" i="1"/>
  <c r="A11" i="5" s="1"/>
  <c r="AP23" i="1"/>
  <c r="A25" i="5" s="1"/>
  <c r="AP17" i="1"/>
  <c r="A19" i="5" s="1"/>
  <c r="AP11" i="1"/>
  <c r="A13" i="5" s="1"/>
  <c r="AP8" i="1"/>
  <c r="A10" i="5" s="1"/>
  <c r="AP2" i="1"/>
  <c r="A4" i="5" s="1"/>
  <c r="AP24" i="1"/>
  <c r="A26" i="5" s="1"/>
  <c r="AP4" i="1"/>
  <c r="A6" i="5" s="1"/>
  <c r="BH26" i="1"/>
  <c r="AP22" i="1"/>
  <c r="A24" i="5" s="1"/>
  <c r="AP18" i="1"/>
  <c r="A20" i="5" s="1"/>
  <c r="AP10" i="1"/>
  <c r="A12" i="5" s="1"/>
  <c r="AP7" i="1"/>
  <c r="A9" i="5" s="1"/>
  <c r="AP1" i="1"/>
  <c r="A3" i="5" s="1"/>
  <c r="BH28" i="1"/>
  <c r="BH27" i="1"/>
  <c r="AQ21" i="1" l="1"/>
  <c r="BS29" i="1"/>
  <c r="BL29" i="1"/>
  <c r="D9" i="5"/>
  <c r="N4" i="5"/>
  <c r="C9" i="5"/>
  <c r="B9" i="5"/>
  <c r="B11" i="5"/>
  <c r="D11" i="5"/>
  <c r="C11" i="5"/>
  <c r="B21" i="5"/>
  <c r="D21" i="5"/>
  <c r="N7" i="5"/>
  <c r="C21" i="5"/>
  <c r="C12" i="5"/>
  <c r="D12" i="5"/>
  <c r="B12" i="5"/>
  <c r="B6" i="5"/>
  <c r="D6" i="5"/>
  <c r="C6" i="5"/>
  <c r="B8" i="5"/>
  <c r="D8" i="5"/>
  <c r="C8" i="5"/>
  <c r="D23" i="5"/>
  <c r="B23" i="5"/>
  <c r="C23" i="5"/>
  <c r="C20" i="5"/>
  <c r="D20" i="5"/>
  <c r="B20" i="5"/>
  <c r="C26" i="5"/>
  <c r="B26" i="5"/>
  <c r="D26" i="5"/>
  <c r="D19" i="5"/>
  <c r="B19" i="5"/>
  <c r="C19" i="5"/>
  <c r="D5" i="5"/>
  <c r="N3" i="5"/>
  <c r="C5" i="5"/>
  <c r="B5" i="5"/>
  <c r="D7" i="5"/>
  <c r="C7" i="5"/>
  <c r="B7" i="5"/>
  <c r="D3" i="5"/>
  <c r="C3" i="5"/>
  <c r="B3" i="5"/>
  <c r="C24" i="5"/>
  <c r="D24" i="5"/>
  <c r="B24" i="5"/>
  <c r="D4" i="5"/>
  <c r="C4" i="5"/>
  <c r="B4" i="5"/>
  <c r="B25" i="5"/>
  <c r="D25" i="5"/>
  <c r="N8" i="5"/>
  <c r="C25" i="5"/>
  <c r="C14" i="5"/>
  <c r="B14" i="5"/>
  <c r="D14" i="5"/>
  <c r="C22" i="5"/>
  <c r="B22" i="5"/>
  <c r="D22" i="5"/>
  <c r="C10" i="5"/>
  <c r="B10" i="5"/>
  <c r="D10" i="5"/>
  <c r="D13" i="5"/>
  <c r="N5" i="5"/>
  <c r="C13" i="5"/>
  <c r="B13" i="5"/>
  <c r="BK29" i="1"/>
  <c r="BM29" i="1"/>
  <c r="BQ29" i="1"/>
  <c r="BU29" i="1"/>
  <c r="BJ29" i="1"/>
  <c r="BO29" i="1"/>
  <c r="AS22" i="1"/>
  <c r="AL28" i="1"/>
  <c r="AM28" i="1" s="1"/>
  <c r="BH33" i="1"/>
  <c r="AQ18" i="1"/>
  <c r="AQ17" i="1"/>
  <c r="AQ5" i="1"/>
  <c r="BH34" i="1"/>
  <c r="AQ2" i="1"/>
  <c r="AS29" i="1"/>
  <c r="AS36" i="1"/>
  <c r="AS27" i="1"/>
  <c r="BH20" i="1"/>
  <c r="AL26" i="1"/>
  <c r="AM26" i="1" s="1"/>
  <c r="AL27" i="1"/>
  <c r="AM27" i="1" s="1"/>
  <c r="BH22" i="1"/>
  <c r="AS26" i="1"/>
  <c r="AL30" i="1"/>
  <c r="AM30" i="1" s="1"/>
  <c r="AK29" i="1"/>
  <c r="AS19" i="1"/>
  <c r="BS28" i="1"/>
  <c r="BL28" i="1"/>
  <c r="BJ28" i="1"/>
  <c r="BM28" i="1"/>
  <c r="BQ28" i="1"/>
  <c r="BK28" i="1"/>
  <c r="BO28" i="1"/>
  <c r="BU28" i="1"/>
  <c r="BS27" i="1"/>
  <c r="BL27" i="1"/>
  <c r="BJ27" i="1"/>
  <c r="BM27" i="1"/>
  <c r="BQ27" i="1"/>
  <c r="BK27" i="1"/>
  <c r="BO27" i="1"/>
  <c r="BU27" i="1"/>
  <c r="BS26" i="1"/>
  <c r="BL26" i="1"/>
  <c r="BJ26" i="1"/>
  <c r="BM26" i="1"/>
  <c r="BQ26" i="1"/>
  <c r="BK26" i="1"/>
  <c r="BO26" i="1"/>
  <c r="BU26" i="1"/>
  <c r="AQ1" i="1"/>
  <c r="AQ6" i="1"/>
  <c r="AS34" i="1"/>
  <c r="AQ22" i="1"/>
  <c r="AS28" i="1"/>
  <c r="AQ9" i="1"/>
  <c r="BH21" i="1"/>
  <c r="AQ10" i="1"/>
  <c r="AS35" i="1"/>
  <c r="AS20" i="1"/>
  <c r="AS21" i="1"/>
  <c r="AS33" i="1"/>
  <c r="BH19" i="1"/>
  <c r="BH35" i="1"/>
  <c r="BI28" i="1" l="1"/>
  <c r="BI29" i="1"/>
  <c r="BI26" i="1"/>
  <c r="BX4" i="1" s="1"/>
  <c r="BI27" i="1"/>
  <c r="BX10" i="1" s="1"/>
  <c r="BL34" i="1"/>
  <c r="BL33" i="1"/>
  <c r="BS22" i="1"/>
  <c r="BS20" i="1"/>
  <c r="AW36" i="1"/>
  <c r="AV27" i="1"/>
  <c r="AW29" i="1"/>
  <c r="AW26" i="1"/>
  <c r="AZ22" i="1"/>
  <c r="BB19" i="1"/>
  <c r="AX22" i="1"/>
  <c r="BS34" i="1"/>
  <c r="BB27" i="1"/>
  <c r="AX29" i="1"/>
  <c r="BU22" i="1"/>
  <c r="AV36" i="1"/>
  <c r="AZ36" i="1"/>
  <c r="AZ26" i="1"/>
  <c r="AV26" i="1"/>
  <c r="BM20" i="1"/>
  <c r="BU20" i="1"/>
  <c r="AW27" i="1"/>
  <c r="AZ29" i="1"/>
  <c r="BK33" i="1"/>
  <c r="AV22" i="1"/>
  <c r="BK22" i="1"/>
  <c r="BQ33" i="1"/>
  <c r="BB22" i="1"/>
  <c r="BF27" i="1"/>
  <c r="AV29" i="1"/>
  <c r="BU34" i="1"/>
  <c r="AW22" i="1"/>
  <c r="AU27" i="1"/>
  <c r="BD29" i="1"/>
  <c r="BM33" i="1"/>
  <c r="BO34" i="1"/>
  <c r="AK26" i="1"/>
  <c r="BD22" i="1"/>
  <c r="BF22" i="1"/>
  <c r="AZ27" i="1"/>
  <c r="BD27" i="1"/>
  <c r="BF29" i="1"/>
  <c r="BB29" i="1"/>
  <c r="BM22" i="1"/>
  <c r="BJ22" i="1"/>
  <c r="BU33" i="1"/>
  <c r="BS33" i="1"/>
  <c r="BK34" i="1"/>
  <c r="AU22" i="1"/>
  <c r="AX27" i="1"/>
  <c r="AU29" i="1"/>
  <c r="AK30" i="1"/>
  <c r="BO22" i="1"/>
  <c r="BL22" i="1"/>
  <c r="BO33" i="1"/>
  <c r="BM34" i="1"/>
  <c r="BQ34" i="1"/>
  <c r="BD19" i="1"/>
  <c r="BD26" i="1"/>
  <c r="BD36" i="1"/>
  <c r="BQ20" i="1"/>
  <c r="AX26" i="1"/>
  <c r="AX36" i="1"/>
  <c r="BJ20" i="1"/>
  <c r="AU19" i="1"/>
  <c r="AW19" i="1"/>
  <c r="BF26" i="1"/>
  <c r="BB26" i="1"/>
  <c r="BF36" i="1"/>
  <c r="BB36" i="1"/>
  <c r="AK27" i="1"/>
  <c r="BO20" i="1"/>
  <c r="BL20" i="1"/>
  <c r="AZ19" i="1"/>
  <c r="AU26" i="1"/>
  <c r="AU36" i="1"/>
  <c r="AK28" i="1"/>
  <c r="BK20" i="1"/>
  <c r="AX19" i="1"/>
  <c r="BF19" i="1"/>
  <c r="BQ22" i="1"/>
  <c r="BJ33" i="1"/>
  <c r="BJ34" i="1"/>
  <c r="AV19" i="1"/>
  <c r="BS35" i="1"/>
  <c r="BL35" i="1"/>
  <c r="BQ35" i="1"/>
  <c r="BK35" i="1"/>
  <c r="BO35" i="1"/>
  <c r="BJ35" i="1"/>
  <c r="BU35" i="1"/>
  <c r="BM35" i="1"/>
  <c r="BS21" i="1"/>
  <c r="BL21" i="1"/>
  <c r="BO21" i="1"/>
  <c r="BM21" i="1"/>
  <c r="BQ21" i="1"/>
  <c r="BK21" i="1"/>
  <c r="BJ21" i="1"/>
  <c r="BU21" i="1"/>
  <c r="BS19" i="1"/>
  <c r="BU19" i="1"/>
  <c r="BO19" i="1"/>
  <c r="BQ19" i="1"/>
  <c r="BL19" i="1"/>
  <c r="BM19" i="1"/>
  <c r="BJ19" i="1"/>
  <c r="BK19" i="1"/>
  <c r="BD34" i="1"/>
  <c r="AW34" i="1"/>
  <c r="BB34" i="1"/>
  <c r="AV34" i="1"/>
  <c r="AZ34" i="1"/>
  <c r="AU34" i="1"/>
  <c r="BF34" i="1"/>
  <c r="AX34" i="1"/>
  <c r="BD33" i="1"/>
  <c r="AW33" i="1"/>
  <c r="BB33" i="1"/>
  <c r="AV33" i="1"/>
  <c r="AZ33" i="1"/>
  <c r="AU33" i="1"/>
  <c r="BF33" i="1"/>
  <c r="AX33" i="1"/>
  <c r="BD35" i="1"/>
  <c r="AW35" i="1"/>
  <c r="BB35" i="1"/>
  <c r="AV35" i="1"/>
  <c r="AZ35" i="1"/>
  <c r="AU35" i="1"/>
  <c r="BF35" i="1"/>
  <c r="AX35" i="1"/>
  <c r="BD28" i="1"/>
  <c r="AW28" i="1"/>
  <c r="BB28" i="1"/>
  <c r="AV28" i="1"/>
  <c r="AZ28" i="1"/>
  <c r="AU28" i="1"/>
  <c r="BF28" i="1"/>
  <c r="AX28" i="1"/>
  <c r="BF21" i="1"/>
  <c r="AX21" i="1"/>
  <c r="AV21" i="1"/>
  <c r="AZ21" i="1"/>
  <c r="BD21" i="1"/>
  <c r="AW21" i="1"/>
  <c r="BB21" i="1"/>
  <c r="AU21" i="1"/>
  <c r="BF20" i="1"/>
  <c r="AX20" i="1"/>
  <c r="AV20" i="1"/>
  <c r="AZ20" i="1"/>
  <c r="BD20" i="1"/>
  <c r="AW20" i="1"/>
  <c r="BB20" i="1"/>
  <c r="AU20" i="1"/>
  <c r="AL31" i="1"/>
  <c r="AM31" i="1" s="1"/>
  <c r="BH36" i="1"/>
  <c r="BI19" i="1" l="1"/>
  <c r="BX2" i="1" s="1"/>
  <c r="BI22" i="1"/>
  <c r="BI21" i="1"/>
  <c r="BI20" i="1"/>
  <c r="BX8" i="1" s="1"/>
  <c r="K2" i="3" s="1"/>
  <c r="AT35" i="1"/>
  <c r="AT36" i="1"/>
  <c r="AT28" i="1"/>
  <c r="AT33" i="1"/>
  <c r="BX5" i="1" s="1"/>
  <c r="AT34" i="1"/>
  <c r="BX11" i="1" s="1"/>
  <c r="K6" i="3" s="1"/>
  <c r="AT29" i="1"/>
  <c r="AT26" i="1"/>
  <c r="BX3" i="1" s="1"/>
  <c r="AT27" i="1"/>
  <c r="BX9" i="1" s="1"/>
  <c r="K3" i="3" s="1"/>
  <c r="AT21" i="1"/>
  <c r="AT22" i="1"/>
  <c r="AT19" i="1"/>
  <c r="AT20" i="1"/>
  <c r="BX7" i="1" s="1"/>
  <c r="BS36" i="1"/>
  <c r="BL36" i="1"/>
  <c r="BQ36" i="1"/>
  <c r="BK36" i="1"/>
  <c r="BO36" i="1"/>
  <c r="BJ36" i="1"/>
  <c r="BI36" i="1" s="1"/>
  <c r="BU36" i="1"/>
  <c r="BM36" i="1"/>
  <c r="AK31" i="1"/>
  <c r="BX1" i="1" l="1"/>
  <c r="G2" i="3"/>
  <c r="K13" i="3"/>
  <c r="G13" i="3"/>
  <c r="G17" i="3"/>
  <c r="G11" i="3"/>
  <c r="BI35" i="1"/>
  <c r="BI34" i="1"/>
  <c r="BX12" i="1" s="1"/>
  <c r="K8" i="3" s="1"/>
  <c r="BI33" i="1"/>
  <c r="BX6" i="1" s="1"/>
  <c r="AN26" i="1"/>
  <c r="AQ26" i="1" s="1"/>
  <c r="AN27" i="1"/>
  <c r="AQ27" i="1" s="1"/>
  <c r="AN29" i="1"/>
  <c r="AQ29" i="1" s="1"/>
  <c r="AN30" i="1"/>
  <c r="AQ30" i="1" s="1"/>
  <c r="AN31" i="1"/>
  <c r="AQ31" i="1" s="1"/>
  <c r="AN28" i="1"/>
  <c r="AQ28" i="1" s="1"/>
  <c r="G8" i="3" l="1"/>
  <c r="G3" i="3"/>
  <c r="G7" i="3"/>
  <c r="G9" i="3"/>
  <c r="G5" i="3"/>
  <c r="G4" i="3"/>
  <c r="K14" i="3"/>
  <c r="K12" i="3"/>
  <c r="K16" i="3"/>
  <c r="AO26" i="1"/>
  <c r="AO27" i="1" s="1"/>
  <c r="AP27" i="1" s="1"/>
  <c r="H4" i="5" s="1"/>
  <c r="AM33" i="1"/>
  <c r="L4" i="5" l="1"/>
  <c r="J4" i="5"/>
  <c r="M4" i="5"/>
  <c r="I4" i="5"/>
  <c r="K4" i="5"/>
  <c r="AS11" i="1"/>
  <c r="BW19" i="1" s="1"/>
  <c r="BY19" i="1" s="1"/>
  <c r="AO28" i="1"/>
  <c r="AP28" i="1" s="1"/>
  <c r="H5" i="5" s="1"/>
  <c r="AP26" i="1"/>
  <c r="H3" i="5" s="1"/>
  <c r="AQ33" i="1"/>
  <c r="K11" i="3" l="1"/>
  <c r="G16" i="3" s="1"/>
  <c r="G19" i="3" s="1"/>
  <c r="A21" i="3" s="1"/>
  <c r="G14" i="3"/>
  <c r="K17" i="3" s="1"/>
  <c r="K19" i="3" s="1"/>
  <c r="G12" i="3"/>
  <c r="AZ11" i="1"/>
  <c r="J3" i="5"/>
  <c r="M3" i="5"/>
  <c r="I3" i="5"/>
  <c r="L3" i="5"/>
  <c r="K3" i="5"/>
  <c r="J5" i="5"/>
  <c r="M5" i="5"/>
  <c r="I5" i="5"/>
  <c r="L5" i="5"/>
  <c r="K5" i="5"/>
  <c r="AS12" i="1"/>
  <c r="BW20" i="1" s="1"/>
  <c r="BY20" i="1" s="1"/>
  <c r="AX11" i="1"/>
  <c r="BB11" i="1"/>
  <c r="AV11" i="1"/>
  <c r="BD11" i="1"/>
  <c r="AU11" i="1"/>
  <c r="AW11" i="1"/>
  <c r="AS10" i="1"/>
  <c r="BW18" i="1" s="1"/>
  <c r="BF11" i="1"/>
  <c r="AO29" i="1"/>
  <c r="AO30" i="1" s="1"/>
  <c r="BY18" i="1" l="1"/>
  <c r="BB12" i="1"/>
  <c r="BB10" i="1"/>
  <c r="BF12" i="1"/>
  <c r="BD12" i="1"/>
  <c r="AX12" i="1"/>
  <c r="AU12" i="1"/>
  <c r="AW12" i="1"/>
  <c r="AZ12" i="1"/>
  <c r="AV12" i="1"/>
  <c r="BF10" i="1"/>
  <c r="AX10" i="1"/>
  <c r="BD10" i="1"/>
  <c r="AW10" i="1"/>
  <c r="AU10" i="1"/>
  <c r="AZ10" i="1"/>
  <c r="AV10" i="1"/>
  <c r="AP29" i="1"/>
  <c r="H6" i="5" s="1"/>
  <c r="AP30" i="1"/>
  <c r="H7" i="5" s="1"/>
  <c r="AO31" i="1"/>
  <c r="AP31" i="1" s="1"/>
  <c r="H8" i="5" s="1"/>
  <c r="J7" i="5" l="1"/>
  <c r="M7" i="5"/>
  <c r="I7" i="5"/>
  <c r="L7" i="5"/>
  <c r="K7" i="5"/>
  <c r="L8" i="5"/>
  <c r="J8" i="5"/>
  <c r="M8" i="5"/>
  <c r="I8" i="5"/>
  <c r="K8" i="5"/>
  <c r="J6" i="5"/>
  <c r="M6" i="5"/>
  <c r="I6" i="5"/>
  <c r="L6" i="5"/>
  <c r="K6" i="5"/>
  <c r="AS14" i="1"/>
  <c r="AS13" i="1"/>
  <c r="BW21" i="1" s="1"/>
  <c r="BY21" i="1" s="1"/>
  <c r="BZ21" i="1" s="1"/>
  <c r="AS15" i="1"/>
  <c r="BZ18" i="1" l="1"/>
  <c r="BZ20" i="1"/>
  <c r="BZ19" i="1"/>
  <c r="AV15" i="1"/>
  <c r="BB14" i="1"/>
  <c r="BF13" i="1"/>
  <c r="AU13" i="1"/>
  <c r="BD15" i="1"/>
  <c r="AX14" i="1"/>
  <c r="AU15" i="1"/>
  <c r="BF14" i="1"/>
  <c r="AU14" i="1"/>
  <c r="AW14" i="1"/>
  <c r="AZ13" i="1"/>
  <c r="AZ15" i="1"/>
  <c r="AX15" i="1"/>
  <c r="BD14" i="1"/>
  <c r="AW15" i="1"/>
  <c r="BF15" i="1"/>
  <c r="AZ14" i="1"/>
  <c r="BB15" i="1"/>
  <c r="AV14" i="1"/>
  <c r="AW13" i="1"/>
  <c r="BB13" i="1"/>
  <c r="BD13" i="1"/>
  <c r="AV13" i="1"/>
  <c r="AX13" i="1"/>
  <c r="CA19" i="1" l="1"/>
  <c r="CA20" i="1"/>
  <c r="CA21" i="1"/>
  <c r="CA18" i="1"/>
  <c r="AT14" i="1"/>
  <c r="AT15" i="1"/>
  <c r="AT12" i="1"/>
  <c r="BX20" i="1" s="1"/>
  <c r="AT13" i="1"/>
  <c r="BX21" i="1" s="1"/>
  <c r="AT11" i="1"/>
  <c r="BX19" i="1" s="1"/>
  <c r="AT10" i="1"/>
  <c r="BX18" i="1" s="1"/>
  <c r="CC20" i="1" l="1"/>
  <c r="CC19" i="1"/>
  <c r="CC18" i="1"/>
  <c r="CC21" i="1"/>
  <c r="CB20" i="1"/>
  <c r="CB19" i="1"/>
  <c r="CB18" i="1"/>
  <c r="CB21" i="1"/>
  <c r="BX23" i="1" l="1"/>
  <c r="CA23" i="1" s="1"/>
  <c r="BW26" i="1" s="1"/>
  <c r="BX26" i="1" l="1"/>
  <c r="BX15" i="1" s="1"/>
  <c r="K9" i="3" s="1"/>
  <c r="BY23" i="1"/>
  <c r="BW24" i="1" s="1"/>
  <c r="BX24" i="1" s="1"/>
  <c r="BZ23" i="1"/>
  <c r="BW25" i="1" s="1"/>
  <c r="CB23" i="1"/>
  <c r="BW27" i="1" s="1"/>
  <c r="BX25" i="1" l="1"/>
  <c r="BX14" i="1" s="1"/>
  <c r="BX27" i="1"/>
  <c r="BX16" i="1" s="1"/>
  <c r="K7" i="3" s="1"/>
  <c r="BX13" i="1"/>
  <c r="K5" i="3" s="1"/>
  <c r="G6" i="3" l="1"/>
  <c r="K4" i="3"/>
</calcChain>
</file>

<file path=xl/sharedStrings.xml><?xml version="1.0" encoding="utf-8"?>
<sst xmlns="http://schemas.openxmlformats.org/spreadsheetml/2006/main" count="547" uniqueCount="212">
  <si>
    <t>Montag</t>
  </si>
  <si>
    <t>Dienstag</t>
  </si>
  <si>
    <t>Mittwoch</t>
  </si>
  <si>
    <t>Donnerstag</t>
  </si>
  <si>
    <t>Freitag</t>
  </si>
  <si>
    <t>Samstag</t>
  </si>
  <si>
    <t>Sonntag</t>
  </si>
  <si>
    <t>Frankreich</t>
  </si>
  <si>
    <t>:</t>
  </si>
  <si>
    <t>Schweiz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</si>
  <si>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</si>
  <si>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</si>
  <si>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</si>
  <si>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</si>
  <si>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</si>
  <si>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</si>
  <si>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</si>
  <si>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</si>
  <si>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</si>
  <si>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</si>
  <si>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</si>
  <si>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</si>
  <si>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</si>
  <si>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</si>
  <si>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</si>
  <si>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</si>
  <si>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</si>
  <si>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</si>
  <si>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</si>
  <si>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</si>
  <si>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</si>
  <si>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</si>
  <si>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</si>
  <si>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</si>
  <si>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England</t>
  </si>
  <si>
    <t>Wales</t>
  </si>
  <si>
    <t>Slowakei</t>
  </si>
  <si>
    <t>Deutschland</t>
  </si>
  <si>
    <t>Ukraine</t>
  </si>
  <si>
    <t>Polen</t>
  </si>
  <si>
    <t>Spanien</t>
  </si>
  <si>
    <t>Tschechien</t>
  </si>
  <si>
    <t>Türkei</t>
  </si>
  <si>
    <t>Kroatien</t>
  </si>
  <si>
    <t>Belgien</t>
  </si>
  <si>
    <t>Schweden</t>
  </si>
  <si>
    <t>Portugal</t>
  </si>
  <si>
    <t>Ungarn</t>
  </si>
  <si>
    <t>Russland</t>
  </si>
  <si>
    <t>fra</t>
  </si>
  <si>
    <t>sui</t>
  </si>
  <si>
    <t>eng</t>
  </si>
  <si>
    <t>rus</t>
  </si>
  <si>
    <t>wal</t>
  </si>
  <si>
    <t>svk</t>
  </si>
  <si>
    <t>ger</t>
  </si>
  <si>
    <t>ukr</t>
  </si>
  <si>
    <t>pol</t>
  </si>
  <si>
    <t>esp</t>
  </si>
  <si>
    <t>cze</t>
  </si>
  <si>
    <t>tur</t>
  </si>
  <si>
    <t>cro</t>
  </si>
  <si>
    <t>bel</t>
  </si>
  <si>
    <t>ita</t>
  </si>
  <si>
    <t>swe</t>
  </si>
  <si>
    <t>por</t>
  </si>
  <si>
    <t>aut</t>
  </si>
  <si>
    <t>hun</t>
  </si>
  <si>
    <t>Gruppe A</t>
  </si>
  <si>
    <t>S</t>
  </si>
  <si>
    <t>U</t>
  </si>
  <si>
    <t>N</t>
  </si>
  <si>
    <t>P</t>
  </si>
  <si>
    <t>T+</t>
  </si>
  <si>
    <t>T-</t>
  </si>
  <si>
    <t>Gruppe B</t>
  </si>
  <si>
    <t>Gruppe C</t>
  </si>
  <si>
    <t>Gruppe D</t>
  </si>
  <si>
    <t>Gruppe F</t>
  </si>
  <si>
    <t>Gruppe E</t>
  </si>
  <si>
    <t>n.V. (0:0)</t>
  </si>
  <si>
    <t>ABCD</t>
  </si>
  <si>
    <t>ABCE</t>
  </si>
  <si>
    <t>ABCF</t>
  </si>
  <si>
    <t>ABDE</t>
  </si>
  <si>
    <t>ABDF</t>
  </si>
  <si>
    <t>ABEF</t>
  </si>
  <si>
    <t>ACDE</t>
  </si>
  <si>
    <t>ACDF</t>
  </si>
  <si>
    <t>ACEF</t>
  </si>
  <si>
    <t>BCDE</t>
  </si>
  <si>
    <t>BCDF</t>
  </si>
  <si>
    <t>BCEF</t>
  </si>
  <si>
    <t>BDEF</t>
  </si>
  <si>
    <t>CDEF</t>
  </si>
  <si>
    <t>C</t>
  </si>
  <si>
    <t>D</t>
  </si>
  <si>
    <t>E</t>
  </si>
  <si>
    <t>A</t>
  </si>
  <si>
    <t>B</t>
  </si>
  <si>
    <t>F</t>
  </si>
  <si>
    <t>A c h t e l f i n a l e</t>
  </si>
  <si>
    <t>V i e r t e l f i n a l e</t>
  </si>
  <si>
    <t>F i n a l e</t>
  </si>
  <si>
    <t>Wochentage</t>
  </si>
  <si>
    <t>Spielstätten</t>
  </si>
  <si>
    <t>Teilnehmer</t>
  </si>
  <si>
    <t>Zuordnung beste Dritte</t>
  </si>
  <si>
    <t>Gruppenphase</t>
  </si>
  <si>
    <t>Spieltag 1</t>
  </si>
  <si>
    <t>Spieltag 2</t>
  </si>
  <si>
    <t>Spieltag 3</t>
  </si>
  <si>
    <t>Finalphase</t>
  </si>
  <si>
    <t>Achtelfinale</t>
  </si>
  <si>
    <t>Viertelfinale</t>
  </si>
  <si>
    <t>Halbfinale</t>
  </si>
  <si>
    <t>Finale</t>
  </si>
  <si>
    <t>Spiele</t>
  </si>
  <si>
    <t>Tore</t>
  </si>
  <si>
    <t>Ø</t>
  </si>
  <si>
    <t>Turnier</t>
  </si>
  <si>
    <t>H a l b f i n a l e</t>
  </si>
  <si>
    <t>AF1</t>
  </si>
  <si>
    <t>AF3</t>
  </si>
  <si>
    <t>AF2</t>
  </si>
  <si>
    <t>AF4</t>
  </si>
  <si>
    <t>AF5</t>
  </si>
  <si>
    <t>AF6</t>
  </si>
  <si>
    <t>AF7</t>
  </si>
  <si>
    <t>AF8</t>
  </si>
  <si>
    <t>VF1</t>
  </si>
  <si>
    <t>VF2</t>
  </si>
  <si>
    <t>VF3</t>
  </si>
  <si>
    <t>VF4</t>
  </si>
  <si>
    <t>HF1</t>
  </si>
  <si>
    <t>HF2</t>
  </si>
  <si>
    <t>ST_1</t>
  </si>
  <si>
    <t>ST_2</t>
  </si>
  <si>
    <t>ST_3</t>
  </si>
  <si>
    <t>Gr.A</t>
  </si>
  <si>
    <t>Gr.B</t>
  </si>
  <si>
    <t>Gr.C</t>
  </si>
  <si>
    <t>Gr.D</t>
  </si>
  <si>
    <t>Gr.E</t>
  </si>
  <si>
    <t>Gr.F</t>
  </si>
  <si>
    <t>AF</t>
  </si>
  <si>
    <t>VF</t>
  </si>
  <si>
    <t>HF</t>
  </si>
  <si>
    <t>Fi</t>
  </si>
  <si>
    <t>Sp</t>
  </si>
  <si>
    <t>Δ</t>
  </si>
  <si>
    <t>Gruppendritte</t>
  </si>
  <si>
    <t>Team</t>
  </si>
  <si>
    <t>Dritte Plätze (Fairplay, etc.)</t>
  </si>
  <si>
    <t>ADEF</t>
  </si>
  <si>
    <t>KO-Phase</t>
  </si>
  <si>
    <t>&gt; Österreich</t>
  </si>
  <si>
    <t>Kennzeichen vorläufig</t>
  </si>
  <si>
    <t xml:space="preserve"> ᵛ</t>
  </si>
  <si>
    <t>Tabellen (bei Punktegleichstand zieht die direkte Begegnung)</t>
  </si>
  <si>
    <t>4:5 i.E. (1:1)</t>
  </si>
  <si>
    <t>London</t>
  </si>
  <si>
    <t>Baku</t>
  </si>
  <si>
    <t>München</t>
  </si>
  <si>
    <t>Rom</t>
  </si>
  <si>
    <t>Glasgow</t>
  </si>
  <si>
    <t>Kopenhagen</t>
  </si>
  <si>
    <t>Sevilla</t>
  </si>
  <si>
    <t>Amsterdam</t>
  </si>
  <si>
    <t>Budapest</t>
  </si>
  <si>
    <t>Bukarest</t>
  </si>
  <si>
    <t>Allianz Arena</t>
  </si>
  <si>
    <t>Krestowski-Stadion</t>
  </si>
  <si>
    <t>Parken</t>
  </si>
  <si>
    <t>Dänemark</t>
  </si>
  <si>
    <t>Finnland</t>
  </si>
  <si>
    <t>Niederlande</t>
  </si>
  <si>
    <t>Schottland</t>
  </si>
  <si>
    <t>den</t>
  </si>
  <si>
    <t>fin</t>
  </si>
  <si>
    <t>ned</t>
  </si>
  <si>
    <t>mkd</t>
  </si>
  <si>
    <t>sco</t>
  </si>
  <si>
    <t>Euro 2020</t>
  </si>
  <si>
    <t>Anmerkung:</t>
  </si>
  <si>
    <t>Wembley Stadium</t>
  </si>
  <si>
    <t>Bakı Milli Stadionu</t>
  </si>
  <si>
    <t>Stadio Olimpico</t>
  </si>
  <si>
    <t>Estadio Olímpico</t>
  </si>
  <si>
    <t>Johan Cruijff ArenA</t>
  </si>
  <si>
    <t>Puskás Aréna</t>
  </si>
  <si>
    <t>Arena Națională</t>
  </si>
  <si>
    <t>Italien</t>
  </si>
  <si>
    <t>Sankt Petersburg</t>
  </si>
  <si>
    <t>Nordmazedonien</t>
  </si>
  <si>
    <t>Hampden Park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</si>
  <si>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</si>
  <si>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</si>
  <si>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</si>
  <si>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</si>
  <si>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</si>
  <si>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</si>
  <si>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</si>
  <si>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</si>
  <si>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</si>
  <si>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</si>
  <si>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</si>
  <si>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</si>
  <si>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3a</t>
  </si>
  <si>
    <t>3b</t>
  </si>
  <si>
    <t>3c</t>
  </si>
  <si>
    <t>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</si>
</sst>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C07]dddd\,\ dd/\ mmmm\ yyyy;@"/>
    <numFmt numFmtId="165" formatCode="[$-C07]dddd\,\ dd/\ mmmm\ yyyy\ \ \ \-\ \ \ hh\ &quot;Uhr&quot;;@"/>
    <numFmt numFmtId="166" formatCode="\+0;\-0;0"/>
    <numFmt numFmtId="167" formatCode="00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Corbel"/>
      <family val="2"/>
    </font>
    <font>
      <sz val="12"/>
      <color theme="0"/>
      <name val="Corbel"/>
      <family val="2"/>
    </font>
    <font>
      <b/>
      <sz val="14"/>
      <color theme="1"/>
      <name val="Corbel"/>
      <family val="2"/>
    </font>
    <font>
      <sz val="10"/>
      <color theme="0" tint="-0.499984740745262"/>
      <name val="Corbel"/>
      <family val="2"/>
    </font>
    <font>
      <sz val="12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1"/>
      <name val="Corbel"/>
      <family val="2"/>
    </font>
    <font>
      <b/>
      <sz val="14"/>
      <color theme="0"/>
      <name val="Corbel"/>
      <family val="2"/>
    </font>
    <font>
      <sz val="12"/>
      <color theme="0" tint="-0.499984740745262"/>
      <name val="Corbel"/>
      <family val="2"/>
    </font>
    <font>
      <b/>
      <sz val="12"/>
      <color theme="0"/>
      <name val="Corbel"/>
      <family val="2"/>
    </font>
    <font>
      <b/>
      <sz val="72"/>
      <color theme="1"/>
      <name val="Corbel"/>
      <family val="2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orbel"/>
      <family val="2"/>
    </font>
    <font>
      <b/>
      <sz val="10"/>
      <color theme="1"/>
      <name val="Corbel"/>
      <family val="2"/>
    </font>
    <font>
      <sz val="14"/>
      <color theme="1"/>
      <name val="Calibri"/>
      <family val="2"/>
      <scheme val="minor"/>
    </font>
    <font>
      <sz val="14"/>
      <color theme="0"/>
      <name val="Corbel"/>
      <family val="2"/>
    </font>
    <font>
      <b/>
      <sz val="14"/>
      <color theme="0"/>
      <name val="Arial"/>
      <family val="2"/>
    </font>
    <font>
      <sz val="14"/>
      <color theme="1"/>
      <name val="Corbel"/>
      <family val="2"/>
    </font>
    <font>
      <sz val="14"/>
      <color theme="0" tint="-0.499984740745262"/>
      <name val="Corbel"/>
      <family val="2"/>
    </font>
    <font>
      <b/>
      <sz val="14"/>
      <name val="Corbel"/>
      <family val="2"/>
    </font>
    <font>
      <b/>
      <sz val="14"/>
      <color theme="0" tint="-0.499984740745262"/>
      <name val="Corbel"/>
      <family val="2"/>
    </font>
    <font>
      <sz val="12"/>
      <color theme="1" tint="0.499984740745262"/>
      <name val="Corbel"/>
      <family val="2"/>
    </font>
    <font>
      <sz val="10"/>
      <color theme="1"/>
      <name val="Arial"/>
      <family val="2"/>
    </font>
    <font>
      <b/>
      <sz val="72"/>
      <name val="Corbel"/>
      <family val="2"/>
    </font>
    <font>
      <i/>
      <sz val="10"/>
      <color theme="1"/>
      <name val="Corbel"/>
      <family val="2"/>
    </font>
    <font>
      <i/>
      <sz val="10"/>
      <color theme="0"/>
      <name val="Corbel"/>
      <family val="2"/>
    </font>
    <font>
      <b/>
      <sz val="72"/>
      <color theme="6" tint="-0.499984740745262"/>
      <name val="Corbel"/>
      <family val="2"/>
    </font>
    <font>
      <b/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orbel"/>
      <family val="2"/>
    </font>
    <font>
      <sz val="10"/>
      <name val="Corbel"/>
      <family val="2"/>
    </font>
    <font>
      <sz val="10"/>
      <name val="Arial"/>
      <family val="2"/>
    </font>
    <font>
      <b/>
      <sz val="10"/>
      <name val="Corbel"/>
      <family val="2"/>
    </font>
    <font>
      <b/>
      <sz val="12"/>
      <name val="Corbel"/>
      <family val="2"/>
    </font>
    <font>
      <sz val="12"/>
      <color theme="1"/>
      <name val="Calibri"/>
      <family val="2"/>
    </font>
    <font>
      <sz val="12"/>
      <color theme="0" tint="-0.34998626667073579"/>
      <name val="Corbel"/>
      <family val="2"/>
    </font>
    <font>
      <i/>
      <sz val="10"/>
      <color theme="0" tint="-0.34998626667073579"/>
      <name val="Corbel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Horizontal">
        <fgColor auto="1"/>
      </patternFill>
    </fill>
    <fill>
      <patternFill patternType="lightHorizontal">
        <fgColor auto="1"/>
        <bgColor theme="9" tint="0.59999389629810485"/>
      </patternFill>
    </fill>
    <fill>
      <patternFill patternType="lightHorizontal">
        <fgColor theme="1" tint="0.499984740745262"/>
        <bgColor theme="6" tint="0.59999389629810485"/>
      </patternFill>
    </fill>
    <fill>
      <patternFill patternType="solid">
        <fgColor theme="6" tint="0.39997558519241921"/>
        <bgColor indexed="64"/>
      </patternFill>
    </fill>
    <fill>
      <patternFill patternType="lightHorizontal">
        <fgColor theme="1" tint="0.499984740745262"/>
        <bgColor theme="9" tint="0.5999938962981048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thin">
        <color rgb="FF0055A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thin">
        <color rgb="FF0055A4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rgb="FF0055A4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 style="mediumDashed">
        <color theme="9" tint="-0.24994659260841701"/>
      </right>
      <top style="mediumDashed">
        <color theme="9" tint="-0.24994659260841701"/>
      </top>
      <bottom/>
      <diagonal/>
    </border>
    <border>
      <left/>
      <right style="mediumDashed">
        <color theme="9" tint="-0.24994659260841701"/>
      </right>
      <top/>
      <bottom/>
      <diagonal/>
    </border>
    <border>
      <left/>
      <right style="mediumDashed">
        <color theme="9" tint="-0.24994659260841701"/>
      </right>
      <top/>
      <bottom style="mediumDashed">
        <color theme="9" tint="-0.24994659260841701"/>
      </bottom>
      <diagonal/>
    </border>
    <border>
      <left/>
      <right/>
      <top/>
      <bottom style="mediumDashed">
        <color theme="9" tint="-0.24994659260841701"/>
      </bottom>
      <diagonal/>
    </border>
    <border>
      <left style="medium">
        <color theme="9" tint="-0.24994659260841701"/>
      </left>
      <right/>
      <top style="mediumDashed">
        <color theme="9" tint="-0.24994659260841701"/>
      </top>
      <bottom/>
      <diagonal/>
    </border>
    <border>
      <left style="medium">
        <color theme="9" tint="-0.24994659260841701"/>
      </left>
      <right/>
      <top/>
      <bottom/>
      <diagonal/>
    </border>
    <border>
      <left style="medium">
        <color theme="9" tint="-0.24994659260841701"/>
      </left>
      <right/>
      <top/>
      <bottom style="mediumDashed">
        <color theme="9" tint="-0.2499465926084170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165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quotePrefix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9" fillId="0" borderId="5" xfId="0" applyFont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4" xfId="0" applyFont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6" fillId="0" borderId="0" xfId="0" applyFont="1"/>
    <xf numFmtId="0" fontId="17" fillId="6" borderId="26" xfId="0" applyFont="1" applyFill="1" applyBorder="1" applyAlignment="1">
      <alignment vertical="center"/>
    </xf>
    <xf numFmtId="0" fontId="8" fillId="6" borderId="37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21" fillId="4" borderId="32" xfId="0" applyFont="1" applyFill="1" applyBorder="1" applyAlignment="1">
      <alignment horizontal="right" vertical="center"/>
    </xf>
    <xf numFmtId="0" fontId="21" fillId="5" borderId="34" xfId="0" applyFont="1" applyFill="1" applyBorder="1" applyAlignment="1">
      <alignment horizontal="right" vertical="center"/>
    </xf>
    <xf numFmtId="0" fontId="8" fillId="6" borderId="37" xfId="0" applyFont="1" applyFill="1" applyBorder="1" applyAlignment="1">
      <alignment vertical="center"/>
    </xf>
    <xf numFmtId="0" fontId="17" fillId="6" borderId="28" xfId="0" applyFont="1" applyFill="1" applyBorder="1" applyAlignment="1">
      <alignment horizontal="right" vertical="center"/>
    </xf>
    <xf numFmtId="0" fontId="17" fillId="6" borderId="30" xfId="0" applyFont="1" applyFill="1" applyBorder="1" applyAlignment="1">
      <alignment horizontal="right" vertical="center"/>
    </xf>
    <xf numFmtId="0" fontId="17" fillId="6" borderId="32" xfId="0" applyFont="1" applyFill="1" applyBorder="1" applyAlignment="1">
      <alignment horizontal="right" vertical="center"/>
    </xf>
    <xf numFmtId="0" fontId="3" fillId="4" borderId="24" xfId="0" applyFont="1" applyFill="1" applyBorder="1" applyAlignment="1">
      <alignment horizontal="right" vertical="center"/>
    </xf>
    <xf numFmtId="0" fontId="22" fillId="4" borderId="24" xfId="0" applyFont="1" applyFill="1" applyBorder="1" applyAlignment="1">
      <alignment horizontal="right" vertical="center"/>
    </xf>
    <xf numFmtId="2" fontId="3" fillId="4" borderId="33" xfId="0" applyNumberFormat="1" applyFont="1" applyFill="1" applyBorder="1" applyAlignment="1">
      <alignment horizontal="right" vertical="center"/>
    </xf>
    <xf numFmtId="0" fontId="3" fillId="5" borderId="35" xfId="0" applyFont="1" applyFill="1" applyBorder="1" applyAlignment="1">
      <alignment vertical="center"/>
    </xf>
    <xf numFmtId="0" fontId="3" fillId="5" borderId="35" xfId="0" applyFont="1" applyFill="1" applyBorder="1" applyAlignment="1">
      <alignment horizontal="right" vertical="center"/>
    </xf>
    <xf numFmtId="0" fontId="22" fillId="5" borderId="35" xfId="0" applyFont="1" applyFill="1" applyBorder="1" applyAlignment="1">
      <alignment vertical="center"/>
    </xf>
    <xf numFmtId="2" fontId="3" fillId="5" borderId="36" xfId="0" applyNumberFormat="1" applyFont="1" applyFill="1" applyBorder="1" applyAlignment="1">
      <alignment horizontal="right" vertical="center"/>
    </xf>
    <xf numFmtId="0" fontId="17" fillId="6" borderId="38" xfId="0" applyFont="1" applyFill="1" applyBorder="1" applyAlignment="1">
      <alignment horizontal="right" vertical="center"/>
    </xf>
    <xf numFmtId="0" fontId="19" fillId="7" borderId="19" xfId="0" applyFont="1" applyFill="1" applyBorder="1" applyAlignment="1">
      <alignment horizontal="right" vertical="center"/>
    </xf>
    <xf numFmtId="0" fontId="20" fillId="7" borderId="19" xfId="0" applyFont="1" applyFill="1" applyBorder="1" applyAlignment="1">
      <alignment horizontal="right" vertical="center"/>
    </xf>
    <xf numFmtId="2" fontId="19" fillId="7" borderId="29" xfId="0" applyNumberFormat="1" applyFont="1" applyFill="1" applyBorder="1" applyAlignment="1">
      <alignment horizontal="right" vertical="center"/>
    </xf>
    <xf numFmtId="0" fontId="19" fillId="7" borderId="0" xfId="0" applyFont="1" applyFill="1" applyBorder="1" applyAlignment="1">
      <alignment horizontal="right" vertical="center"/>
    </xf>
    <xf numFmtId="0" fontId="20" fillId="7" borderId="0" xfId="0" applyFont="1" applyFill="1" applyBorder="1" applyAlignment="1">
      <alignment horizontal="right" vertical="center"/>
    </xf>
    <xf numFmtId="2" fontId="19" fillId="7" borderId="31" xfId="0" applyNumberFormat="1" applyFont="1" applyFill="1" applyBorder="1" applyAlignment="1">
      <alignment horizontal="right" vertical="center"/>
    </xf>
    <xf numFmtId="0" fontId="19" fillId="7" borderId="39" xfId="0" applyFont="1" applyFill="1" applyBorder="1" applyAlignment="1">
      <alignment horizontal="right" vertical="center"/>
    </xf>
    <xf numFmtId="0" fontId="20" fillId="7" borderId="39" xfId="0" applyFont="1" applyFill="1" applyBorder="1" applyAlignment="1">
      <alignment horizontal="right" vertical="center"/>
    </xf>
    <xf numFmtId="2" fontId="19" fillId="7" borderId="40" xfId="0" applyNumberFormat="1" applyFont="1" applyFill="1" applyBorder="1" applyAlignment="1">
      <alignment horizontal="right" vertical="center"/>
    </xf>
    <xf numFmtId="0" fontId="19" fillId="7" borderId="24" xfId="0" applyFont="1" applyFill="1" applyBorder="1" applyAlignment="1">
      <alignment horizontal="right" vertical="center"/>
    </xf>
    <xf numFmtId="0" fontId="20" fillId="7" borderId="24" xfId="0" applyFont="1" applyFill="1" applyBorder="1" applyAlignment="1">
      <alignment horizontal="right" vertical="center"/>
    </xf>
    <xf numFmtId="2" fontId="19" fillId="7" borderId="33" xfId="0" applyNumberFormat="1" applyFont="1" applyFill="1" applyBorder="1" applyAlignment="1">
      <alignment horizontal="right" vertical="center"/>
    </xf>
    <xf numFmtId="0" fontId="19" fillId="7" borderId="0" xfId="0" applyFont="1" applyFill="1" applyBorder="1" applyAlignment="1">
      <alignment vertical="center"/>
    </xf>
    <xf numFmtId="0" fontId="19" fillId="7" borderId="24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15" fillId="0" borderId="16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6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0" fontId="14" fillId="0" borderId="6" xfId="0" applyNumberFormat="1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6" fontId="1" fillId="3" borderId="9" xfId="0" applyNumberFormat="1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14" fillId="8" borderId="6" xfId="0" applyNumberFormat="1" applyFont="1" applyFill="1" applyBorder="1" applyAlignment="1">
      <alignment horizontal="center" vertical="center"/>
    </xf>
    <xf numFmtId="0" fontId="14" fillId="8" borderId="10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166" fontId="1" fillId="9" borderId="0" xfId="0" applyNumberFormat="1" applyFont="1" applyFill="1" applyBorder="1" applyAlignment="1">
      <alignment horizontal="center" vertical="center"/>
    </xf>
    <xf numFmtId="166" fontId="1" fillId="10" borderId="0" xfId="0" applyNumberFormat="1" applyFont="1" applyFill="1" applyBorder="1" applyAlignment="1">
      <alignment horizontal="center" vertical="center"/>
    </xf>
    <xf numFmtId="166" fontId="1" fillId="10" borderId="9" xfId="0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166" fontId="5" fillId="0" borderId="0" xfId="0" applyNumberFormat="1" applyFont="1" applyAlignment="1">
      <alignment vertical="center"/>
    </xf>
    <xf numFmtId="0" fontId="29" fillId="0" borderId="45" xfId="0" applyFont="1" applyBorder="1" applyAlignment="1">
      <alignment horizontal="center" vertical="center"/>
    </xf>
    <xf numFmtId="0" fontId="29" fillId="0" borderId="43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23" fillId="0" borderId="13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2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31" fillId="4" borderId="12" xfId="0" applyFont="1" applyFill="1" applyBorder="1" applyAlignment="1">
      <alignment vertical="center"/>
    </xf>
    <xf numFmtId="0" fontId="31" fillId="4" borderId="0" xfId="0" applyFont="1" applyFill="1" applyBorder="1" applyAlignment="1">
      <alignment horizontal="center" vertical="center"/>
    </xf>
    <xf numFmtId="0" fontId="31" fillId="11" borderId="0" xfId="0" applyFont="1" applyFill="1" applyBorder="1" applyAlignment="1">
      <alignment horizontal="center" vertical="center"/>
    </xf>
    <xf numFmtId="166" fontId="31" fillId="4" borderId="0" xfId="0" applyNumberFormat="1" applyFont="1" applyFill="1" applyBorder="1" applyAlignment="1">
      <alignment horizontal="center" vertical="center"/>
    </xf>
    <xf numFmtId="0" fontId="35" fillId="12" borderId="6" xfId="0" applyNumberFormat="1" applyFont="1" applyFill="1" applyBorder="1" applyAlignment="1">
      <alignment horizontal="center" vertical="center"/>
    </xf>
    <xf numFmtId="166" fontId="31" fillId="11" borderId="0" xfId="0" applyNumberFormat="1" applyFont="1" applyFill="1" applyBorder="1" applyAlignment="1">
      <alignment horizontal="center" vertical="center"/>
    </xf>
    <xf numFmtId="0" fontId="31" fillId="3" borderId="12" xfId="0" applyFont="1" applyFill="1" applyBorder="1" applyAlignment="1">
      <alignment vertical="center"/>
    </xf>
    <xf numFmtId="0" fontId="31" fillId="3" borderId="0" xfId="0" applyFont="1" applyFill="1" applyBorder="1" applyAlignment="1">
      <alignment horizontal="center" vertical="center"/>
    </xf>
    <xf numFmtId="0" fontId="31" fillId="13" borderId="0" xfId="0" applyFont="1" applyFill="1" applyBorder="1" applyAlignment="1">
      <alignment horizontal="center" vertical="center"/>
    </xf>
    <xf numFmtId="166" fontId="31" fillId="3" borderId="0" xfId="0" applyNumberFormat="1" applyFont="1" applyFill="1" applyBorder="1" applyAlignment="1">
      <alignment horizontal="center" vertical="center"/>
    </xf>
    <xf numFmtId="166" fontId="31" fillId="13" borderId="0" xfId="0" applyNumberFormat="1" applyFont="1" applyFill="1" applyBorder="1" applyAlignment="1">
      <alignment horizontal="center" vertical="center"/>
    </xf>
    <xf numFmtId="0" fontId="31" fillId="3" borderId="11" xfId="0" applyFont="1" applyFill="1" applyBorder="1" applyAlignment="1">
      <alignment vertical="center"/>
    </xf>
    <xf numFmtId="0" fontId="31" fillId="3" borderId="9" xfId="0" applyFont="1" applyFill="1" applyBorder="1" applyAlignment="1">
      <alignment horizontal="center" vertical="center"/>
    </xf>
    <xf numFmtId="0" fontId="31" fillId="13" borderId="9" xfId="0" applyFont="1" applyFill="1" applyBorder="1" applyAlignment="1">
      <alignment horizontal="center" vertical="center"/>
    </xf>
    <xf numFmtId="166" fontId="31" fillId="3" borderId="9" xfId="0" applyNumberFormat="1" applyFont="1" applyFill="1" applyBorder="1" applyAlignment="1">
      <alignment horizontal="center" vertical="center"/>
    </xf>
    <xf numFmtId="166" fontId="31" fillId="13" borderId="9" xfId="0" applyNumberFormat="1" applyFont="1" applyFill="1" applyBorder="1" applyAlignment="1">
      <alignment horizontal="center" vertical="center"/>
    </xf>
    <xf numFmtId="0" fontId="35" fillId="8" borderId="6" xfId="0" applyNumberFormat="1" applyFont="1" applyFill="1" applyBorder="1" applyAlignment="1">
      <alignment horizontal="center" vertical="center"/>
    </xf>
    <xf numFmtId="0" fontId="35" fillId="8" borderId="1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36" fillId="0" borderId="0" xfId="0" quotePrefix="1" applyFont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right" vertical="center"/>
    </xf>
    <xf numFmtId="167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65" fontId="2" fillId="15" borderId="0" xfId="0" applyNumberFormat="1" applyFont="1" applyFill="1" applyAlignment="1">
      <alignment horizontal="center" vertical="center"/>
    </xf>
    <xf numFmtId="0" fontId="2" fillId="15" borderId="23" xfId="0" applyNumberFormat="1" applyFont="1" applyFill="1" applyBorder="1" applyAlignment="1">
      <alignment horizontal="center" vertical="center"/>
    </xf>
    <xf numFmtId="0" fontId="2" fillId="15" borderId="24" xfId="0" applyNumberFormat="1" applyFont="1" applyFill="1" applyBorder="1" applyAlignment="1">
      <alignment horizontal="center" vertical="center"/>
    </xf>
    <xf numFmtId="165" fontId="2" fillId="15" borderId="24" xfId="0" applyNumberFormat="1" applyFont="1" applyFill="1" applyBorder="1" applyAlignment="1">
      <alignment horizontal="center" vertical="center"/>
    </xf>
    <xf numFmtId="0" fontId="2" fillId="15" borderId="21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165" fontId="2" fillId="15" borderId="0" xfId="0" applyNumberFormat="1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horizontal="right" vertical="center"/>
    </xf>
    <xf numFmtId="0" fontId="2" fillId="14" borderId="24" xfId="0" quotePrefix="1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0" fontId="2" fillId="14" borderId="0" xfId="0" applyFont="1" applyFill="1" applyBorder="1" applyAlignment="1">
      <alignment vertical="center"/>
    </xf>
    <xf numFmtId="0" fontId="2" fillId="14" borderId="22" xfId="0" applyFont="1" applyFill="1" applyBorder="1" applyAlignment="1">
      <alignment vertical="center"/>
    </xf>
    <xf numFmtId="0" fontId="2" fillId="14" borderId="0" xfId="0" quotePrefix="1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right" vertical="center"/>
    </xf>
    <xf numFmtId="0" fontId="8" fillId="16" borderId="24" xfId="0" applyFont="1" applyFill="1" applyBorder="1" applyAlignment="1">
      <alignment horizontal="center" vertical="center"/>
    </xf>
    <xf numFmtId="0" fontId="8" fillId="16" borderId="0" xfId="0" applyFont="1" applyFill="1" applyBorder="1" applyAlignment="1">
      <alignment horizontal="center" vertical="center"/>
    </xf>
    <xf numFmtId="0" fontId="2" fillId="14" borderId="0" xfId="0" quotePrefix="1" applyFont="1" applyFill="1" applyAlignment="1">
      <alignment horizontal="center" vertical="center"/>
    </xf>
    <xf numFmtId="0" fontId="2" fillId="14" borderId="0" xfId="0" applyFont="1" applyFill="1" applyAlignment="1">
      <alignment vertical="center"/>
    </xf>
    <xf numFmtId="0" fontId="8" fillId="16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165" fontId="28" fillId="4" borderId="0" xfId="0" applyNumberFormat="1" applyFont="1" applyFill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8" fillId="6" borderId="37" xfId="0" applyFont="1" applyFill="1" applyBorder="1" applyAlignment="1">
      <alignment horizontal="center" vertical="center"/>
    </xf>
  </cellXfs>
  <cellStyles count="1">
    <cellStyle name="Standard" xfId="0" builtinId="0"/>
  </cellStyles>
  <dxfs count="15">
    <dxf>
      <font>
        <b val="0"/>
        <i val="0"/>
        <color theme="8" tint="-0.24994659260841701"/>
      </font>
      <fill>
        <gradientFill>
          <stop position="0">
            <color theme="6" tint="0.80001220740379042"/>
          </stop>
          <stop position="0.5">
            <color theme="8" tint="0.59999389629810485"/>
          </stop>
          <stop position="1">
            <color theme="6" tint="0.80001220740379042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border>
        <top style="dotted">
          <color auto="1"/>
        </top>
        <vertical/>
        <horizontal/>
      </border>
    </dxf>
    <dxf>
      <fill>
        <patternFill>
          <bgColor theme="8" tint="0.59996337778862885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EF4531"/>
      <color rgb="FF0055A4"/>
      <color rgb="FFF587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U25"/>
  <sheetViews>
    <sheetView workbookViewId="0">
      <selection sqref="A1:B1"/>
    </sheetView>
  </sheetViews>
  <sheetFormatPr baseColWidth="10" defaultRowHeight="15.75" x14ac:dyDescent="0.25"/>
  <cols>
    <col min="1" max="1" width="2.140625" style="9" bestFit="1" customWidth="1"/>
    <col min="2" max="2" width="11.7109375" style="9" bestFit="1" customWidth="1"/>
    <col min="3" max="3" width="5.7109375" style="9" customWidth="1"/>
    <col min="4" max="4" width="16.7109375" style="9" bestFit="1" customWidth="1"/>
    <col min="5" max="5" width="18.85546875" style="9" bestFit="1" customWidth="1"/>
    <col min="6" max="6" width="5.7109375" style="9" customWidth="1"/>
    <col min="7" max="7" width="3.5703125" style="9" bestFit="1" customWidth="1"/>
    <col min="8" max="8" width="16.7109375" style="9" bestFit="1" customWidth="1"/>
    <col min="9" max="9" width="4.7109375" style="9" bestFit="1" customWidth="1"/>
    <col min="10" max="10" width="3" style="9" bestFit="1" customWidth="1"/>
    <col min="11" max="11" width="4.7109375" style="9" bestFit="1" customWidth="1"/>
    <col min="12" max="12" width="16.7109375" style="9" bestFit="1" customWidth="1"/>
    <col min="13" max="13" width="3.5703125" style="9" bestFit="1" customWidth="1"/>
    <col min="14" max="14" width="5.7109375" style="9" customWidth="1"/>
    <col min="15" max="15" width="6.28515625" style="9" bestFit="1" customWidth="1"/>
    <col min="16" max="17" width="2.42578125" style="9" bestFit="1" customWidth="1"/>
    <col min="18" max="19" width="2.28515625" style="9" bestFit="1" customWidth="1"/>
    <col min="20" max="20" width="11.42578125" style="9"/>
    <col min="21" max="21" width="22.42578125" style="9" bestFit="1" customWidth="1"/>
    <col min="22" max="16384" width="11.42578125" style="9"/>
  </cols>
  <sheetData>
    <row r="1" spans="1:21" x14ac:dyDescent="0.25">
      <c r="A1" s="158" t="s">
        <v>104</v>
      </c>
      <c r="B1" s="158"/>
      <c r="D1" s="158" t="s">
        <v>105</v>
      </c>
      <c r="E1" s="158"/>
      <c r="G1" s="158" t="s">
        <v>106</v>
      </c>
      <c r="H1" s="158"/>
      <c r="I1" s="158"/>
      <c r="J1" s="158"/>
      <c r="K1" s="158"/>
      <c r="L1" s="158"/>
      <c r="M1" s="158"/>
      <c r="O1" s="158" t="s">
        <v>107</v>
      </c>
      <c r="P1" s="158"/>
      <c r="Q1" s="158"/>
      <c r="R1" s="158"/>
      <c r="S1" s="158"/>
      <c r="U1" s="127" t="s">
        <v>157</v>
      </c>
    </row>
    <row r="2" spans="1:21" x14ac:dyDescent="0.25">
      <c r="A2" s="9">
        <v>1</v>
      </c>
      <c r="B2" s="9" t="s">
        <v>0</v>
      </c>
      <c r="D2" s="9" t="s">
        <v>168</v>
      </c>
      <c r="E2" s="9" t="s">
        <v>189</v>
      </c>
      <c r="G2" s="9" t="s">
        <v>10</v>
      </c>
      <c r="H2" s="9" t="s">
        <v>42</v>
      </c>
      <c r="I2" s="9" t="s">
        <v>60</v>
      </c>
      <c r="J2" s="10">
        <f t="shared" ref="J2:J25" si="0">SUMPRODUCT((I$2:I$25&lt;I2)+0)</f>
        <v>21</v>
      </c>
      <c r="K2" s="36" t="str">
        <f t="shared" ref="K2:K25" si="1">INDEX($I$2:$I$25,MATCH(SMALL(J$2:J$25,ROW()-1),J$2:J$25,0))</f>
        <v>aut</v>
      </c>
      <c r="L2" s="36" t="str">
        <f t="shared" ref="L2:L25" si="2">INDEX($H$2:$H$25,MATCH(SMALL(J$2:J$25,ROW()-1),J$2:J$25,0))</f>
        <v>&gt; Österreich</v>
      </c>
      <c r="M2" s="36" t="str">
        <f t="shared" ref="M2:M25" si="3">INDEX($G$2:$G$25,MATCH(SMALL(J$2:J$25,ROW()-1),J$2:J$25,0))</f>
        <v>C3</v>
      </c>
      <c r="O2" s="9" t="s">
        <v>81</v>
      </c>
      <c r="P2" s="9" t="s">
        <v>98</v>
      </c>
      <c r="Q2" s="9" t="s">
        <v>96</v>
      </c>
      <c r="R2" s="9" t="s">
        <v>99</v>
      </c>
      <c r="S2" s="9" t="s">
        <v>95</v>
      </c>
      <c r="U2" s="128" t="s">
        <v>158</v>
      </c>
    </row>
    <row r="3" spans="1:21" x14ac:dyDescent="0.25">
      <c r="A3" s="9">
        <v>2</v>
      </c>
      <c r="B3" s="9" t="s">
        <v>1</v>
      </c>
      <c r="D3" s="9" t="s">
        <v>162</v>
      </c>
      <c r="E3" s="9" t="s">
        <v>186</v>
      </c>
      <c r="G3" s="9" t="s">
        <v>11</v>
      </c>
      <c r="H3" s="9" t="s">
        <v>192</v>
      </c>
      <c r="I3" s="9" t="s">
        <v>63</v>
      </c>
      <c r="J3" s="10">
        <f t="shared" si="0"/>
        <v>11</v>
      </c>
      <c r="K3" s="36" t="str">
        <f t="shared" si="1"/>
        <v>bel</v>
      </c>
      <c r="L3" s="36" t="str">
        <f t="shared" si="2"/>
        <v>Belgien</v>
      </c>
      <c r="M3" s="36" t="str">
        <f t="shared" si="3"/>
        <v>B3</v>
      </c>
      <c r="O3" s="9" t="s">
        <v>82</v>
      </c>
      <c r="P3" s="9" t="s">
        <v>98</v>
      </c>
      <c r="Q3" s="9" t="s">
        <v>97</v>
      </c>
      <c r="R3" s="9" t="s">
        <v>99</v>
      </c>
      <c r="S3" s="9" t="s">
        <v>95</v>
      </c>
    </row>
    <row r="4" spans="1:21" x14ac:dyDescent="0.25">
      <c r="A4" s="9">
        <v>3</v>
      </c>
      <c r="B4" s="9" t="s">
        <v>2</v>
      </c>
      <c r="D4" s="9" t="s">
        <v>169</v>
      </c>
      <c r="E4" s="9" t="s">
        <v>190</v>
      </c>
      <c r="G4" s="9" t="s">
        <v>12</v>
      </c>
      <c r="H4" s="9" t="s">
        <v>35</v>
      </c>
      <c r="I4" s="9" t="s">
        <v>53</v>
      </c>
      <c r="J4" s="10">
        <f t="shared" si="0"/>
        <v>23</v>
      </c>
      <c r="K4" s="36" t="str">
        <f t="shared" si="1"/>
        <v>cro</v>
      </c>
      <c r="L4" s="36" t="str">
        <f t="shared" si="2"/>
        <v>Kroatien</v>
      </c>
      <c r="M4" s="36" t="str">
        <f t="shared" si="3"/>
        <v>D2</v>
      </c>
      <c r="O4" s="9" t="s">
        <v>83</v>
      </c>
      <c r="P4" s="9" t="s">
        <v>98</v>
      </c>
      <c r="Q4" s="9" t="s">
        <v>100</v>
      </c>
      <c r="R4" s="9" t="s">
        <v>99</v>
      </c>
      <c r="S4" s="9" t="s">
        <v>95</v>
      </c>
    </row>
    <row r="5" spans="1:21" x14ac:dyDescent="0.25">
      <c r="A5" s="9">
        <v>4</v>
      </c>
      <c r="B5" s="9" t="s">
        <v>3</v>
      </c>
      <c r="D5" s="9" t="s">
        <v>170</v>
      </c>
      <c r="E5" s="9" t="s">
        <v>191</v>
      </c>
      <c r="G5" s="9" t="s">
        <v>13</v>
      </c>
      <c r="H5" s="9" t="s">
        <v>9</v>
      </c>
      <c r="I5" s="9" t="s">
        <v>50</v>
      </c>
      <c r="J5" s="10">
        <f t="shared" si="0"/>
        <v>18</v>
      </c>
      <c r="K5" s="36" t="str">
        <f t="shared" si="1"/>
        <v>cze</v>
      </c>
      <c r="L5" s="36" t="str">
        <f t="shared" si="2"/>
        <v>Tschechien</v>
      </c>
      <c r="M5" s="36" t="str">
        <f t="shared" si="3"/>
        <v>D4</v>
      </c>
      <c r="O5" s="9" t="s">
        <v>84</v>
      </c>
      <c r="P5" s="9" t="s">
        <v>96</v>
      </c>
      <c r="Q5" s="9" t="s">
        <v>97</v>
      </c>
      <c r="R5" s="9" t="s">
        <v>98</v>
      </c>
      <c r="S5" s="9" t="s">
        <v>99</v>
      </c>
    </row>
    <row r="6" spans="1:21" x14ac:dyDescent="0.25">
      <c r="A6" s="9">
        <v>5</v>
      </c>
      <c r="B6" s="9" t="s">
        <v>4</v>
      </c>
      <c r="D6" s="9" t="s">
        <v>165</v>
      </c>
      <c r="E6" s="9" t="s">
        <v>195</v>
      </c>
      <c r="G6" s="9" t="s">
        <v>14</v>
      </c>
      <c r="H6" s="9" t="s">
        <v>174</v>
      </c>
      <c r="I6" s="9" t="s">
        <v>178</v>
      </c>
      <c r="J6" s="10">
        <f t="shared" si="0"/>
        <v>4</v>
      </c>
      <c r="K6" s="36" t="str">
        <f t="shared" si="1"/>
        <v>den</v>
      </c>
      <c r="L6" s="36" t="str">
        <f t="shared" si="2"/>
        <v>Dänemark</v>
      </c>
      <c r="M6" s="36" t="str">
        <f t="shared" si="3"/>
        <v>B1</v>
      </c>
      <c r="O6" s="9" t="s">
        <v>85</v>
      </c>
      <c r="P6" s="9" t="s">
        <v>96</v>
      </c>
      <c r="Q6" s="9" t="s">
        <v>100</v>
      </c>
      <c r="R6" s="9" t="s">
        <v>98</v>
      </c>
      <c r="S6" s="9" t="s">
        <v>99</v>
      </c>
    </row>
    <row r="7" spans="1:21" x14ac:dyDescent="0.25">
      <c r="A7" s="9">
        <v>6</v>
      </c>
      <c r="B7" s="9" t="s">
        <v>5</v>
      </c>
      <c r="D7" s="9" t="s">
        <v>166</v>
      </c>
      <c r="E7" s="9" t="s">
        <v>173</v>
      </c>
      <c r="G7" s="9" t="s">
        <v>15</v>
      </c>
      <c r="H7" s="9" t="s">
        <v>175</v>
      </c>
      <c r="I7" s="9" t="s">
        <v>179</v>
      </c>
      <c r="J7" s="10">
        <f t="shared" si="0"/>
        <v>7</v>
      </c>
      <c r="K7" s="36" t="str">
        <f t="shared" si="1"/>
        <v>eng</v>
      </c>
      <c r="L7" s="36" t="str">
        <f t="shared" si="2"/>
        <v>England</v>
      </c>
      <c r="M7" s="36" t="str">
        <f t="shared" si="3"/>
        <v>D1</v>
      </c>
      <c r="O7" s="9" t="s">
        <v>86</v>
      </c>
      <c r="P7" s="9" t="s">
        <v>97</v>
      </c>
      <c r="Q7" s="9" t="s">
        <v>100</v>
      </c>
      <c r="R7" s="9" t="s">
        <v>99</v>
      </c>
      <c r="S7" s="9" t="s">
        <v>98</v>
      </c>
    </row>
    <row r="8" spans="1:21" x14ac:dyDescent="0.25">
      <c r="A8" s="9">
        <v>7</v>
      </c>
      <c r="B8" s="9" t="s">
        <v>6</v>
      </c>
      <c r="D8" s="9" t="s">
        <v>161</v>
      </c>
      <c r="E8" s="9" t="s">
        <v>185</v>
      </c>
      <c r="G8" s="9" t="s">
        <v>16</v>
      </c>
      <c r="H8" s="9" t="s">
        <v>44</v>
      </c>
      <c r="I8" s="9" t="s">
        <v>62</v>
      </c>
      <c r="J8" s="10">
        <f t="shared" si="0"/>
        <v>1</v>
      </c>
      <c r="K8" s="36" t="str">
        <f t="shared" si="1"/>
        <v>esp</v>
      </c>
      <c r="L8" s="36" t="str">
        <f t="shared" si="2"/>
        <v>Spanien</v>
      </c>
      <c r="M8" s="36" t="str">
        <f t="shared" si="3"/>
        <v>E1</v>
      </c>
      <c r="O8" s="9" t="s">
        <v>87</v>
      </c>
      <c r="P8" s="9" t="s">
        <v>97</v>
      </c>
      <c r="Q8" s="9" t="s">
        <v>96</v>
      </c>
      <c r="R8" s="9" t="s">
        <v>95</v>
      </c>
      <c r="S8" s="9" t="s">
        <v>98</v>
      </c>
    </row>
    <row r="9" spans="1:21" x14ac:dyDescent="0.25">
      <c r="D9" s="9" t="s">
        <v>163</v>
      </c>
      <c r="E9" s="9" t="s">
        <v>171</v>
      </c>
      <c r="G9" s="9" t="s">
        <v>17</v>
      </c>
      <c r="H9" s="9" t="s">
        <v>48</v>
      </c>
      <c r="I9" s="9" t="s">
        <v>52</v>
      </c>
      <c r="J9" s="10">
        <f t="shared" si="0"/>
        <v>16</v>
      </c>
      <c r="K9" s="36" t="str">
        <f t="shared" si="1"/>
        <v>fin</v>
      </c>
      <c r="L9" s="36" t="str">
        <f t="shared" si="2"/>
        <v>Finnland</v>
      </c>
      <c r="M9" s="36" t="str">
        <f t="shared" si="3"/>
        <v>B2</v>
      </c>
      <c r="O9" s="9" t="s">
        <v>88</v>
      </c>
      <c r="P9" s="9" t="s">
        <v>100</v>
      </c>
      <c r="Q9" s="9" t="s">
        <v>96</v>
      </c>
      <c r="R9" s="9" t="s">
        <v>95</v>
      </c>
      <c r="S9" s="9" t="s">
        <v>98</v>
      </c>
    </row>
    <row r="10" spans="1:21" x14ac:dyDescent="0.25">
      <c r="D10" s="9" t="s">
        <v>164</v>
      </c>
      <c r="E10" s="9" t="s">
        <v>187</v>
      </c>
      <c r="G10" s="9" t="s">
        <v>18</v>
      </c>
      <c r="H10" s="9" t="s">
        <v>176</v>
      </c>
      <c r="I10" s="9" t="s">
        <v>180</v>
      </c>
      <c r="J10" s="10">
        <f t="shared" si="0"/>
        <v>13</v>
      </c>
      <c r="K10" s="36" t="str">
        <f t="shared" si="1"/>
        <v>fra</v>
      </c>
      <c r="L10" s="36" t="str">
        <f t="shared" si="2"/>
        <v>Frankreich</v>
      </c>
      <c r="M10" s="36" t="str">
        <f t="shared" si="3"/>
        <v>F3</v>
      </c>
      <c r="O10" s="9" t="s">
        <v>89</v>
      </c>
      <c r="P10" s="9" t="s">
        <v>97</v>
      </c>
      <c r="Q10" s="9" t="s">
        <v>100</v>
      </c>
      <c r="R10" s="9" t="s">
        <v>95</v>
      </c>
      <c r="S10" s="9" t="s">
        <v>98</v>
      </c>
    </row>
    <row r="11" spans="1:21" x14ac:dyDescent="0.25">
      <c r="D11" s="9" t="s">
        <v>193</v>
      </c>
      <c r="E11" s="9" t="s">
        <v>172</v>
      </c>
      <c r="G11" s="9" t="s">
        <v>19</v>
      </c>
      <c r="H11" s="9" t="s">
        <v>38</v>
      </c>
      <c r="I11" s="9" t="s">
        <v>56</v>
      </c>
      <c r="J11" s="10">
        <f t="shared" si="0"/>
        <v>22</v>
      </c>
      <c r="K11" s="36" t="str">
        <f t="shared" si="1"/>
        <v>ger</v>
      </c>
      <c r="L11" s="36" t="str">
        <f t="shared" si="2"/>
        <v>Deutschland</v>
      </c>
      <c r="M11" s="36" t="str">
        <f t="shared" si="3"/>
        <v>F4</v>
      </c>
      <c r="O11" s="9" t="s">
        <v>154</v>
      </c>
      <c r="P11" s="9" t="s">
        <v>97</v>
      </c>
      <c r="Q11" s="9" t="s">
        <v>100</v>
      </c>
      <c r="R11" s="9" t="s">
        <v>96</v>
      </c>
      <c r="S11" s="9" t="s">
        <v>98</v>
      </c>
    </row>
    <row r="12" spans="1:21" x14ac:dyDescent="0.25">
      <c r="D12" s="9" t="s">
        <v>167</v>
      </c>
      <c r="E12" s="9" t="s">
        <v>188</v>
      </c>
      <c r="G12" s="9" t="s">
        <v>20</v>
      </c>
      <c r="H12" s="9" t="s">
        <v>156</v>
      </c>
      <c r="I12" s="9" t="s">
        <v>66</v>
      </c>
      <c r="J12" s="10">
        <f t="shared" si="0"/>
        <v>0</v>
      </c>
      <c r="K12" s="36" t="str">
        <f t="shared" si="1"/>
        <v>hun</v>
      </c>
      <c r="L12" s="36" t="str">
        <f t="shared" si="2"/>
        <v>Ungarn</v>
      </c>
      <c r="M12" s="36" t="str">
        <f t="shared" si="3"/>
        <v>F1</v>
      </c>
      <c r="O12" s="9" t="s">
        <v>90</v>
      </c>
      <c r="P12" s="9" t="s">
        <v>97</v>
      </c>
      <c r="Q12" s="9" t="s">
        <v>96</v>
      </c>
      <c r="R12" s="9" t="s">
        <v>99</v>
      </c>
      <c r="S12" s="9" t="s">
        <v>95</v>
      </c>
    </row>
    <row r="13" spans="1:21" x14ac:dyDescent="0.25">
      <c r="G13" s="9" t="s">
        <v>21</v>
      </c>
      <c r="H13" s="9" t="s">
        <v>194</v>
      </c>
      <c r="I13" s="9" t="s">
        <v>181</v>
      </c>
      <c r="J13" s="10">
        <f t="shared" si="0"/>
        <v>12</v>
      </c>
      <c r="K13" s="36" t="str">
        <f t="shared" si="1"/>
        <v>ita</v>
      </c>
      <c r="L13" s="36" t="str">
        <f t="shared" si="2"/>
        <v>Italien</v>
      </c>
      <c r="M13" s="36" t="str">
        <f t="shared" si="3"/>
        <v>A2</v>
      </c>
      <c r="O13" s="9" t="s">
        <v>91</v>
      </c>
      <c r="P13" s="9" t="s">
        <v>100</v>
      </c>
      <c r="Q13" s="9" t="s">
        <v>96</v>
      </c>
      <c r="R13" s="9" t="s">
        <v>95</v>
      </c>
      <c r="S13" s="9" t="s">
        <v>99</v>
      </c>
    </row>
    <row r="14" spans="1:21" x14ac:dyDescent="0.25">
      <c r="G14" s="9" t="s">
        <v>22</v>
      </c>
      <c r="H14" s="9" t="s">
        <v>34</v>
      </c>
      <c r="I14" s="9" t="s">
        <v>51</v>
      </c>
      <c r="J14" s="10">
        <f t="shared" si="0"/>
        <v>5</v>
      </c>
      <c r="K14" s="36" t="str">
        <f t="shared" si="1"/>
        <v>mkd</v>
      </c>
      <c r="L14" s="36" t="str">
        <f t="shared" si="2"/>
        <v>Nordmazedonien</v>
      </c>
      <c r="M14" s="36" t="str">
        <f t="shared" si="3"/>
        <v>C4</v>
      </c>
      <c r="O14" s="9" t="s">
        <v>92</v>
      </c>
      <c r="P14" s="9" t="s">
        <v>100</v>
      </c>
      <c r="Q14" s="9" t="s">
        <v>97</v>
      </c>
      <c r="R14" s="9" t="s">
        <v>95</v>
      </c>
      <c r="S14" s="9" t="s">
        <v>99</v>
      </c>
    </row>
    <row r="15" spans="1:21" x14ac:dyDescent="0.25">
      <c r="G15" s="9" t="s">
        <v>23</v>
      </c>
      <c r="H15" s="9" t="s">
        <v>43</v>
      </c>
      <c r="I15" s="9" t="s">
        <v>61</v>
      </c>
      <c r="J15" s="10">
        <f t="shared" si="0"/>
        <v>2</v>
      </c>
      <c r="K15" s="36" t="str">
        <f t="shared" si="1"/>
        <v>ned</v>
      </c>
      <c r="L15" s="36" t="str">
        <f t="shared" si="2"/>
        <v>Niederlande</v>
      </c>
      <c r="M15" s="36" t="str">
        <f t="shared" si="3"/>
        <v>C1</v>
      </c>
      <c r="O15" s="9" t="s">
        <v>93</v>
      </c>
      <c r="P15" s="9" t="s">
        <v>100</v>
      </c>
      <c r="Q15" s="9" t="s">
        <v>97</v>
      </c>
      <c r="R15" s="9" t="s">
        <v>96</v>
      </c>
      <c r="S15" s="9" t="s">
        <v>99</v>
      </c>
    </row>
    <row r="16" spans="1:21" x14ac:dyDescent="0.25">
      <c r="G16" s="9" t="s">
        <v>24</v>
      </c>
      <c r="H16" s="9" t="s">
        <v>177</v>
      </c>
      <c r="I16" s="9" t="s">
        <v>182</v>
      </c>
      <c r="J16" s="10">
        <f t="shared" si="0"/>
        <v>17</v>
      </c>
      <c r="K16" s="36" t="str">
        <f t="shared" si="1"/>
        <v>pol</v>
      </c>
      <c r="L16" s="36" t="str">
        <f t="shared" si="2"/>
        <v>Polen</v>
      </c>
      <c r="M16" s="36" t="str">
        <f t="shared" si="3"/>
        <v>E3</v>
      </c>
      <c r="O16" s="9" t="s">
        <v>94</v>
      </c>
      <c r="P16" s="9" t="s">
        <v>100</v>
      </c>
      <c r="Q16" s="9" t="s">
        <v>97</v>
      </c>
      <c r="R16" s="9" t="s">
        <v>96</v>
      </c>
      <c r="S16" s="9" t="s">
        <v>95</v>
      </c>
    </row>
    <row r="17" spans="7:13" x14ac:dyDescent="0.25">
      <c r="G17" s="9" t="s">
        <v>25</v>
      </c>
      <c r="H17" s="9" t="s">
        <v>41</v>
      </c>
      <c r="I17" s="9" t="s">
        <v>59</v>
      </c>
      <c r="J17" s="10">
        <f t="shared" si="0"/>
        <v>3</v>
      </c>
      <c r="K17" s="36" t="str">
        <f t="shared" si="1"/>
        <v>por</v>
      </c>
      <c r="L17" s="36" t="str">
        <f t="shared" si="2"/>
        <v>Portugal</v>
      </c>
      <c r="M17" s="36" t="str">
        <f t="shared" si="3"/>
        <v>F2</v>
      </c>
    </row>
    <row r="18" spans="7:13" x14ac:dyDescent="0.25">
      <c r="G18" s="9" t="s">
        <v>26</v>
      </c>
      <c r="H18" s="9" t="s">
        <v>40</v>
      </c>
      <c r="I18" s="9" t="s">
        <v>58</v>
      </c>
      <c r="J18" s="10">
        <f t="shared" si="0"/>
        <v>6</v>
      </c>
      <c r="K18" s="36" t="str">
        <f t="shared" si="1"/>
        <v>rus</v>
      </c>
      <c r="L18" s="36" t="str">
        <f t="shared" si="2"/>
        <v>Russland</v>
      </c>
      <c r="M18" s="36" t="str">
        <f t="shared" si="3"/>
        <v>B4</v>
      </c>
    </row>
    <row r="19" spans="7:13" x14ac:dyDescent="0.25">
      <c r="G19" s="9" t="s">
        <v>27</v>
      </c>
      <c r="H19" s="9" t="s">
        <v>45</v>
      </c>
      <c r="I19" s="9" t="s">
        <v>64</v>
      </c>
      <c r="J19" s="10">
        <f t="shared" si="0"/>
        <v>20</v>
      </c>
      <c r="K19" s="36" t="str">
        <f t="shared" si="1"/>
        <v>sco</v>
      </c>
      <c r="L19" s="36" t="str">
        <f t="shared" si="2"/>
        <v>Schottland</v>
      </c>
      <c r="M19" s="36" t="str">
        <f t="shared" si="3"/>
        <v>D3</v>
      </c>
    </row>
    <row r="20" spans="7:13" x14ac:dyDescent="0.25">
      <c r="G20" s="9" t="s">
        <v>28</v>
      </c>
      <c r="H20" s="9" t="s">
        <v>39</v>
      </c>
      <c r="I20" s="9" t="s">
        <v>57</v>
      </c>
      <c r="J20" s="10">
        <f t="shared" si="0"/>
        <v>14</v>
      </c>
      <c r="K20" s="36" t="str">
        <f t="shared" si="1"/>
        <v>sui</v>
      </c>
      <c r="L20" s="36" t="str">
        <f t="shared" si="2"/>
        <v>Schweiz</v>
      </c>
      <c r="M20" s="36" t="str">
        <f t="shared" si="3"/>
        <v>A4</v>
      </c>
    </row>
    <row r="21" spans="7:13" x14ac:dyDescent="0.25">
      <c r="G21" s="9" t="s">
        <v>29</v>
      </c>
      <c r="H21" s="9" t="s">
        <v>36</v>
      </c>
      <c r="I21" s="9" t="s">
        <v>54</v>
      </c>
      <c r="J21" s="10">
        <f t="shared" si="0"/>
        <v>19</v>
      </c>
      <c r="K21" s="36" t="str">
        <f t="shared" si="1"/>
        <v>svk</v>
      </c>
      <c r="L21" s="36" t="str">
        <f t="shared" si="2"/>
        <v>Slowakei</v>
      </c>
      <c r="M21" s="36" t="str">
        <f t="shared" si="3"/>
        <v>E4</v>
      </c>
    </row>
    <row r="22" spans="7:13" x14ac:dyDescent="0.25">
      <c r="G22" s="9" t="s">
        <v>30</v>
      </c>
      <c r="H22" s="9" t="s">
        <v>47</v>
      </c>
      <c r="I22" s="9" t="s">
        <v>67</v>
      </c>
      <c r="J22" s="10">
        <f t="shared" si="0"/>
        <v>10</v>
      </c>
      <c r="K22" s="36" t="str">
        <f t="shared" si="1"/>
        <v>swe</v>
      </c>
      <c r="L22" s="36" t="str">
        <f t="shared" si="2"/>
        <v>Schweden</v>
      </c>
      <c r="M22" s="36" t="str">
        <f t="shared" si="3"/>
        <v>E2</v>
      </c>
    </row>
    <row r="23" spans="7:13" x14ac:dyDescent="0.25">
      <c r="G23" s="9" t="s">
        <v>31</v>
      </c>
      <c r="H23" s="9" t="s">
        <v>46</v>
      </c>
      <c r="I23" s="9" t="s">
        <v>65</v>
      </c>
      <c r="J23" s="10">
        <f t="shared" si="0"/>
        <v>15</v>
      </c>
      <c r="K23" s="36" t="str">
        <f t="shared" si="1"/>
        <v>tur</v>
      </c>
      <c r="L23" s="36" t="str">
        <f t="shared" si="2"/>
        <v>Türkei</v>
      </c>
      <c r="M23" s="36" t="str">
        <f t="shared" si="3"/>
        <v>A1</v>
      </c>
    </row>
    <row r="24" spans="7:13" x14ac:dyDescent="0.25">
      <c r="G24" s="9" t="s">
        <v>32</v>
      </c>
      <c r="H24" s="9" t="s">
        <v>7</v>
      </c>
      <c r="I24" s="9" t="s">
        <v>49</v>
      </c>
      <c r="J24" s="10">
        <f t="shared" si="0"/>
        <v>8</v>
      </c>
      <c r="K24" s="36" t="str">
        <f t="shared" si="1"/>
        <v>ukr</v>
      </c>
      <c r="L24" s="36" t="str">
        <f t="shared" si="2"/>
        <v>Ukraine</v>
      </c>
      <c r="M24" s="36" t="str">
        <f t="shared" si="3"/>
        <v>C2</v>
      </c>
    </row>
    <row r="25" spans="7:13" x14ac:dyDescent="0.25">
      <c r="G25" s="9" t="s">
        <v>33</v>
      </c>
      <c r="H25" s="9" t="s">
        <v>37</v>
      </c>
      <c r="I25" s="9" t="s">
        <v>55</v>
      </c>
      <c r="J25" s="10">
        <f t="shared" si="0"/>
        <v>9</v>
      </c>
      <c r="K25" s="36" t="str">
        <f t="shared" si="1"/>
        <v>wal</v>
      </c>
      <c r="L25" s="36" t="str">
        <f t="shared" si="2"/>
        <v>Wales</v>
      </c>
      <c r="M25" s="36" t="str">
        <f t="shared" si="3"/>
        <v>A3</v>
      </c>
    </row>
  </sheetData>
  <sortState ref="D2:E12">
    <sortCondition ref="D2"/>
  </sortState>
  <mergeCells count="4">
    <mergeCell ref="A1:B1"/>
    <mergeCell ref="D1:E1"/>
    <mergeCell ref="G1:M1"/>
    <mergeCell ref="O1:S1"/>
  </mergeCells>
  <pageMargins left="0.7" right="0.7" top="0.78740157499999996" bottom="0.78740157499999996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F27" sqref="F27"/>
    </sheetView>
  </sheetViews>
  <sheetFormatPr baseColWidth="10" defaultRowHeight="15" x14ac:dyDescent="0.25"/>
  <cols>
    <col min="1" max="1" width="3.7109375" customWidth="1"/>
    <col min="2" max="2" width="12.7109375" customWidth="1"/>
    <col min="3" max="6" width="3.7109375" customWidth="1"/>
    <col min="7" max="7" width="5.7109375" customWidth="1"/>
    <col min="8" max="8" width="3.7109375" customWidth="1"/>
    <col min="9" max="9" width="12.7109375" customWidth="1"/>
    <col min="10" max="15" width="3.7109375" customWidth="1"/>
  </cols>
  <sheetData>
    <row r="1" spans="1:15" ht="48.75" customHeight="1" x14ac:dyDescent="0.25">
      <c r="A1" s="160" t="s">
        <v>159</v>
      </c>
      <c r="B1" s="160"/>
      <c r="C1" s="160"/>
      <c r="D1" s="160"/>
      <c r="E1" s="160"/>
      <c r="F1" s="160"/>
      <c r="G1" s="9"/>
      <c r="H1" s="159" t="s">
        <v>153</v>
      </c>
      <c r="I1" s="159"/>
      <c r="J1" s="159"/>
      <c r="K1" s="159"/>
      <c r="L1" s="159"/>
      <c r="M1" s="159"/>
      <c r="N1" s="159"/>
      <c r="O1" s="159"/>
    </row>
    <row r="2" spans="1:15" ht="16.5" thickBot="1" x14ac:dyDescent="0.3">
      <c r="A2" s="9"/>
      <c r="B2" s="9" t="s">
        <v>152</v>
      </c>
      <c r="C2" s="9" t="s">
        <v>149</v>
      </c>
      <c r="D2" s="9" t="s">
        <v>72</v>
      </c>
      <c r="E2" s="9"/>
      <c r="F2" s="96">
        <v>1</v>
      </c>
      <c r="G2" s="9"/>
      <c r="H2" s="9"/>
      <c r="I2" s="9"/>
      <c r="J2" s="9" t="s">
        <v>149</v>
      </c>
      <c r="K2" s="9" t="s">
        <v>72</v>
      </c>
      <c r="L2" s="94" t="s">
        <v>150</v>
      </c>
      <c r="M2" s="9" t="s">
        <v>73</v>
      </c>
      <c r="N2" s="9"/>
      <c r="O2" s="96">
        <v>1</v>
      </c>
    </row>
    <row r="3" spans="1:15" ht="15.75" x14ac:dyDescent="0.25">
      <c r="A3" s="9" t="str">
        <f ca="1">Gruppenphase!AP1</f>
        <v>A2</v>
      </c>
      <c r="B3" s="9" t="str">
        <f ca="1">VLOOKUP(A3,helper!$G$2:$H$25,2)</f>
        <v>Italien</v>
      </c>
      <c r="C3" s="9">
        <f ca="1">VLOOKUP($A3,Gruppenphase!$AD$1:$AL$24,2)</f>
        <v>3</v>
      </c>
      <c r="D3" s="9">
        <f ca="1">VLOOKUP($A3,Gruppenphase!$AD$1:$AL$24,9)</f>
        <v>9</v>
      </c>
      <c r="E3" s="100" t="str">
        <f>helper!G2</f>
        <v>A1</v>
      </c>
      <c r="F3" s="97"/>
      <c r="G3" s="9"/>
      <c r="H3" s="9" t="str">
        <f ca="1">Gruppenphase!AP26</f>
        <v>F2</v>
      </c>
      <c r="I3" s="9" t="str">
        <f ca="1">VLOOKUP(H3,helper!$G$2:$H$25,2)</f>
        <v>Portugal</v>
      </c>
      <c r="J3" s="9">
        <f ca="1">VLOOKUP($H3,Gruppenphase!$AD$1:$AL$24,2)</f>
        <v>3</v>
      </c>
      <c r="K3" s="9">
        <f ca="1">VLOOKUP($H3,Gruppenphase!$AD$1:$AL$24,9)</f>
        <v>4</v>
      </c>
      <c r="L3" s="95">
        <f ca="1">VLOOKUP($H3,Gruppenphase!$AD$1:$AL$24,8)</f>
        <v>1</v>
      </c>
      <c r="M3" s="9">
        <f ca="1">VLOOKUP($H3,Gruppenphase!$AD$1:$AL$24,6)</f>
        <v>7</v>
      </c>
      <c r="N3" s="100" t="str">
        <f ca="1">A5</f>
        <v>A4</v>
      </c>
      <c r="O3" s="99"/>
    </row>
    <row r="4" spans="1:15" ht="15.75" x14ac:dyDescent="0.25">
      <c r="A4" s="9" t="str">
        <f ca="1">Gruppenphase!AP2</f>
        <v>A3</v>
      </c>
      <c r="B4" s="9" t="str">
        <f ca="1">VLOOKUP(A4,helper!$G$2:$H$25,2)</f>
        <v>Wales</v>
      </c>
      <c r="C4" s="9">
        <f ca="1">VLOOKUP($A4,Gruppenphase!$AD$1:$AL$24,2)</f>
        <v>3</v>
      </c>
      <c r="D4" s="9">
        <f ca="1">VLOOKUP($A4,Gruppenphase!$AD$1:$AL$24,9)</f>
        <v>4</v>
      </c>
      <c r="E4" s="101" t="str">
        <f>helper!G3</f>
        <v>A2</v>
      </c>
      <c r="F4" s="97"/>
      <c r="G4" s="9"/>
      <c r="H4" s="9" t="str">
        <f ca="1">Gruppenphase!AP27</f>
        <v>D4</v>
      </c>
      <c r="I4" s="9" t="str">
        <f ca="1">VLOOKUP(H4,helper!$G$2:$H$25,2)</f>
        <v>Tschechien</v>
      </c>
      <c r="J4" s="9">
        <f ca="1">VLOOKUP($H4,Gruppenphase!$AD$1:$AL$24,2)</f>
        <v>3</v>
      </c>
      <c r="K4" s="9">
        <f ca="1">VLOOKUP($H4,Gruppenphase!$AD$1:$AL$24,9)</f>
        <v>4</v>
      </c>
      <c r="L4" s="95">
        <f ca="1">VLOOKUP($H4,Gruppenphase!$AD$1:$AL$24,8)</f>
        <v>1</v>
      </c>
      <c r="M4" s="9">
        <f ca="1">VLOOKUP($H4,Gruppenphase!$AD$1:$AL$24,6)</f>
        <v>3</v>
      </c>
      <c r="N4" s="101" t="str">
        <f ca="1">A9</f>
        <v>B2</v>
      </c>
      <c r="O4" s="97"/>
    </row>
    <row r="5" spans="1:15" ht="15.75" x14ac:dyDescent="0.25">
      <c r="A5" s="9" t="str">
        <f ca="1">Gruppenphase!AP3</f>
        <v>A4</v>
      </c>
      <c r="B5" s="9" t="str">
        <f ca="1">VLOOKUP(A5,helper!$G$2:$H$25,2)</f>
        <v>Schweiz</v>
      </c>
      <c r="C5" s="9">
        <f ca="1">VLOOKUP($A5,Gruppenphase!$AD$1:$AL$24,2)</f>
        <v>3</v>
      </c>
      <c r="D5" s="9">
        <f ca="1">VLOOKUP($A5,Gruppenphase!$AD$1:$AL$24,9)</f>
        <v>4</v>
      </c>
      <c r="E5" s="101" t="str">
        <f>helper!G4</f>
        <v>A3</v>
      </c>
      <c r="F5" s="97"/>
      <c r="G5" s="9"/>
      <c r="H5" s="9" t="str">
        <f ca="1">Gruppenphase!AP28</f>
        <v>A4</v>
      </c>
      <c r="I5" s="9" t="str">
        <f ca="1">VLOOKUP(H5,helper!$G$2:$H$25,2)</f>
        <v>Schweiz</v>
      </c>
      <c r="J5" s="9">
        <f ca="1">VLOOKUP($H5,Gruppenphase!$AD$1:$AL$24,2)</f>
        <v>3</v>
      </c>
      <c r="K5" s="9">
        <f ca="1">VLOOKUP($H5,Gruppenphase!$AD$1:$AL$24,9)</f>
        <v>4</v>
      </c>
      <c r="L5" s="95">
        <f ca="1">VLOOKUP($H5,Gruppenphase!$AD$1:$AL$24,8)</f>
        <v>-1</v>
      </c>
      <c r="M5" s="9">
        <f ca="1">VLOOKUP($H5,Gruppenphase!$AD$1:$AL$24,6)</f>
        <v>4</v>
      </c>
      <c r="N5" s="101" t="str">
        <f ca="1">A13</f>
        <v>C2</v>
      </c>
      <c r="O5" s="97"/>
    </row>
    <row r="6" spans="1:15" ht="15.75" x14ac:dyDescent="0.25">
      <c r="A6" s="9" t="str">
        <f ca="1">Gruppenphase!AP4</f>
        <v>A1</v>
      </c>
      <c r="B6" s="9" t="str">
        <f ca="1">VLOOKUP(A6,helper!$G$2:$H$25,2)</f>
        <v>Türkei</v>
      </c>
      <c r="C6" s="9">
        <f ca="1">VLOOKUP($A6,Gruppenphase!$AD$1:$AL$24,2)</f>
        <v>3</v>
      </c>
      <c r="D6" s="9">
        <f ca="1">VLOOKUP($A6,Gruppenphase!$AD$1:$AL$24,9)</f>
        <v>0</v>
      </c>
      <c r="E6" s="101" t="str">
        <f>helper!G5</f>
        <v>A4</v>
      </c>
      <c r="F6" s="97"/>
      <c r="G6" s="9"/>
      <c r="H6" s="9" t="str">
        <f ca="1">Gruppenphase!AP29</f>
        <v>C2</v>
      </c>
      <c r="I6" s="9" t="str">
        <f ca="1">VLOOKUP(H6,helper!$G$2:$H$25,2)</f>
        <v>Ukraine</v>
      </c>
      <c r="J6" s="9">
        <f ca="1">VLOOKUP($H6,Gruppenphase!$AD$1:$AL$24,2)</f>
        <v>3</v>
      </c>
      <c r="K6" s="9">
        <f ca="1">VLOOKUP($H6,Gruppenphase!$AD$1:$AL$24,9)</f>
        <v>3</v>
      </c>
      <c r="L6" s="95">
        <f ca="1">VLOOKUP($H6,Gruppenphase!$AD$1:$AL$24,8)</f>
        <v>-1</v>
      </c>
      <c r="M6" s="9">
        <f ca="1">VLOOKUP($H6,Gruppenphase!$AD$1:$AL$24,6)</f>
        <v>4</v>
      </c>
      <c r="N6" s="101" t="str">
        <f ca="1">A17</f>
        <v>D4</v>
      </c>
      <c r="O6" s="97"/>
    </row>
    <row r="7" spans="1:15" ht="15.75" x14ac:dyDescent="0.25">
      <c r="A7" s="9" t="str">
        <f ca="1">Gruppenphase!AP5</f>
        <v>B3</v>
      </c>
      <c r="B7" s="9" t="str">
        <f ca="1">VLOOKUP(A7,helper!$G$2:$H$25,2)</f>
        <v>Belgien</v>
      </c>
      <c r="C7" s="9">
        <f ca="1">VLOOKUP($A7,Gruppenphase!$AD$1:$AL$24,2)</f>
        <v>3</v>
      </c>
      <c r="D7" s="9">
        <f ca="1">VLOOKUP($A7,Gruppenphase!$AD$1:$AL$24,9)</f>
        <v>9</v>
      </c>
      <c r="E7" s="101" t="str">
        <f>helper!G6</f>
        <v>B1</v>
      </c>
      <c r="F7" s="97"/>
      <c r="G7" s="9"/>
      <c r="H7" s="9" t="str">
        <f ca="1">Gruppenphase!AP30</f>
        <v>B2</v>
      </c>
      <c r="I7" s="9" t="str">
        <f ca="1">VLOOKUP(H7,helper!$G$2:$H$25,2)</f>
        <v>Finnland</v>
      </c>
      <c r="J7" s="9">
        <f ca="1">VLOOKUP($H7,Gruppenphase!$AD$1:$AL$24,2)</f>
        <v>3</v>
      </c>
      <c r="K7" s="9">
        <f ca="1">VLOOKUP($H7,Gruppenphase!$AD$1:$AL$24,9)</f>
        <v>3</v>
      </c>
      <c r="L7" s="95">
        <f ca="1">VLOOKUP($H7,Gruppenphase!$AD$1:$AL$24,8)</f>
        <v>-2</v>
      </c>
      <c r="M7" s="9">
        <f ca="1">VLOOKUP($H7,Gruppenphase!$AD$1:$AL$24,6)</f>
        <v>1</v>
      </c>
      <c r="N7" s="101" t="str">
        <f ca="1">A21</f>
        <v>E4</v>
      </c>
      <c r="O7" s="97"/>
    </row>
    <row r="8" spans="1:15" ht="16.5" thickBot="1" x14ac:dyDescent="0.3">
      <c r="A8" s="9" t="str">
        <f ca="1">Gruppenphase!AP6</f>
        <v>B1</v>
      </c>
      <c r="B8" s="9" t="str">
        <f ca="1">VLOOKUP(A8,helper!$G$2:$H$25,2)</f>
        <v>Dänemark</v>
      </c>
      <c r="C8" s="9">
        <f ca="1">VLOOKUP($A8,Gruppenphase!$AD$1:$AL$24,2)</f>
        <v>3</v>
      </c>
      <c r="D8" s="9">
        <f ca="1">VLOOKUP($A8,Gruppenphase!$AD$1:$AL$24,9)</f>
        <v>3</v>
      </c>
      <c r="E8" s="101" t="str">
        <f>helper!G7</f>
        <v>B2</v>
      </c>
      <c r="F8" s="97"/>
      <c r="G8" s="9"/>
      <c r="H8" s="9" t="str">
        <f ca="1">Gruppenphase!AP31</f>
        <v>E4</v>
      </c>
      <c r="I8" s="9" t="str">
        <f ca="1">VLOOKUP(H8,helper!$G$2:$H$25,2)</f>
        <v>Slowakei</v>
      </c>
      <c r="J8" s="9">
        <f ca="1">VLOOKUP($H8,Gruppenphase!$AD$1:$AL$24,2)</f>
        <v>3</v>
      </c>
      <c r="K8" s="9">
        <f ca="1">VLOOKUP($H8,Gruppenphase!$AD$1:$AL$24,9)</f>
        <v>3</v>
      </c>
      <c r="L8" s="95">
        <f ca="1">VLOOKUP($H8,Gruppenphase!$AD$1:$AL$24,8)</f>
        <v>-5</v>
      </c>
      <c r="M8" s="9">
        <f ca="1">VLOOKUP($H8,Gruppenphase!$AD$1:$AL$24,6)</f>
        <v>2</v>
      </c>
      <c r="N8" s="102" t="str">
        <f ca="1">A25</f>
        <v>F2</v>
      </c>
      <c r="O8" s="98"/>
    </row>
    <row r="9" spans="1:15" ht="15.75" x14ac:dyDescent="0.25">
      <c r="A9" s="9" t="str">
        <f ca="1">Gruppenphase!AP7</f>
        <v>B2</v>
      </c>
      <c r="B9" s="9" t="str">
        <f ca="1">VLOOKUP(A9,helper!$G$2:$H$25,2)</f>
        <v>Finnland</v>
      </c>
      <c r="C9" s="9">
        <f ca="1">VLOOKUP($A9,Gruppenphase!$AD$1:$AL$24,2)</f>
        <v>3</v>
      </c>
      <c r="D9" s="9">
        <f ca="1">VLOOKUP($A9,Gruppenphase!$AD$1:$AL$24,9)</f>
        <v>3</v>
      </c>
      <c r="E9" s="101" t="str">
        <f>helper!G8</f>
        <v>B3</v>
      </c>
      <c r="F9" s="97"/>
      <c r="G9" s="9"/>
      <c r="H9" s="9"/>
      <c r="I9" s="9"/>
      <c r="J9" s="9"/>
      <c r="K9" s="9"/>
      <c r="L9" s="9"/>
      <c r="M9" s="9"/>
      <c r="N9" s="9"/>
      <c r="O9" s="9"/>
    </row>
    <row r="10" spans="1:15" ht="15.75" x14ac:dyDescent="0.25">
      <c r="A10" s="9" t="str">
        <f ca="1">Gruppenphase!AP8</f>
        <v>B4</v>
      </c>
      <c r="B10" s="9" t="str">
        <f ca="1">VLOOKUP(A10,helper!$G$2:$H$25,2)</f>
        <v>Russland</v>
      </c>
      <c r="C10" s="9">
        <f ca="1">VLOOKUP($A10,Gruppenphase!$AD$1:$AL$24,2)</f>
        <v>3</v>
      </c>
      <c r="D10" s="9">
        <f ca="1">VLOOKUP($A10,Gruppenphase!$AD$1:$AL$24,9)</f>
        <v>3</v>
      </c>
      <c r="E10" s="101" t="str">
        <f>helper!G9</f>
        <v>B4</v>
      </c>
      <c r="F10" s="97"/>
      <c r="G10" s="9"/>
      <c r="H10" s="9"/>
      <c r="I10" s="9"/>
      <c r="J10" s="9"/>
      <c r="K10" s="9"/>
      <c r="L10" s="9"/>
      <c r="M10" s="9"/>
      <c r="N10" s="9"/>
      <c r="O10" s="9"/>
    </row>
    <row r="11" spans="1:15" ht="15.75" x14ac:dyDescent="0.25">
      <c r="A11" s="9" t="str">
        <f ca="1">Gruppenphase!AP9</f>
        <v>C1</v>
      </c>
      <c r="B11" s="9" t="str">
        <f ca="1">VLOOKUP(A11,helper!$G$2:$H$25,2)</f>
        <v>Niederlande</v>
      </c>
      <c r="C11" s="9">
        <f ca="1">VLOOKUP($A11,Gruppenphase!$AD$1:$AL$24,2)</f>
        <v>3</v>
      </c>
      <c r="D11" s="9">
        <f ca="1">VLOOKUP($A11,Gruppenphase!$AD$1:$AL$24,9)</f>
        <v>9</v>
      </c>
      <c r="E11" s="101" t="str">
        <f>helper!G10</f>
        <v>C1</v>
      </c>
      <c r="F11" s="97"/>
      <c r="G11" s="9"/>
      <c r="H11" s="9"/>
      <c r="I11" s="9"/>
      <c r="J11" s="9"/>
      <c r="K11" s="9"/>
      <c r="L11" s="9"/>
      <c r="M11" s="9"/>
      <c r="N11" s="9"/>
      <c r="O11" s="9"/>
    </row>
    <row r="12" spans="1:15" ht="15.75" x14ac:dyDescent="0.25">
      <c r="A12" s="9" t="str">
        <f ca="1">Gruppenphase!AP10</f>
        <v>C3</v>
      </c>
      <c r="B12" s="9" t="str">
        <f ca="1">VLOOKUP(A12,helper!$G$2:$H$25,2)</f>
        <v>&gt; Österreich</v>
      </c>
      <c r="C12" s="9">
        <f ca="1">VLOOKUP($A12,Gruppenphase!$AD$1:$AL$24,2)</f>
        <v>3</v>
      </c>
      <c r="D12" s="9">
        <f ca="1">VLOOKUP($A12,Gruppenphase!$AD$1:$AL$24,9)</f>
        <v>6</v>
      </c>
      <c r="E12" s="101" t="str">
        <f>helper!G11</f>
        <v>C2</v>
      </c>
      <c r="F12" s="97"/>
      <c r="G12" s="9"/>
      <c r="H12" s="9"/>
      <c r="I12" s="9"/>
      <c r="J12" s="9"/>
      <c r="K12" s="9"/>
      <c r="L12" s="9"/>
      <c r="M12" s="9"/>
      <c r="N12" s="9"/>
      <c r="O12" s="9"/>
    </row>
    <row r="13" spans="1:15" ht="15.75" x14ac:dyDescent="0.25">
      <c r="A13" s="9" t="str">
        <f ca="1">Gruppenphase!AP11</f>
        <v>C2</v>
      </c>
      <c r="B13" s="9" t="str">
        <f ca="1">VLOOKUP(A13,helper!$G$2:$H$25,2)</f>
        <v>Ukraine</v>
      </c>
      <c r="C13" s="9">
        <f ca="1">VLOOKUP($A13,Gruppenphase!$AD$1:$AL$24,2)</f>
        <v>3</v>
      </c>
      <c r="D13" s="9">
        <f ca="1">VLOOKUP($A13,Gruppenphase!$AD$1:$AL$24,9)</f>
        <v>3</v>
      </c>
      <c r="E13" s="101" t="str">
        <f>helper!G12</f>
        <v>C3</v>
      </c>
      <c r="F13" s="97"/>
      <c r="G13" s="9"/>
      <c r="H13" s="9"/>
      <c r="I13" s="9"/>
      <c r="J13" s="9"/>
      <c r="K13" s="9"/>
      <c r="L13" s="9"/>
      <c r="M13" s="9"/>
      <c r="N13" s="9"/>
      <c r="O13" s="9"/>
    </row>
    <row r="14" spans="1:15" ht="15.75" x14ac:dyDescent="0.25">
      <c r="A14" s="9" t="str">
        <f ca="1">Gruppenphase!AP12</f>
        <v>C4</v>
      </c>
      <c r="B14" s="9" t="str">
        <f ca="1">VLOOKUP(A14,helper!$G$2:$H$25,2)</f>
        <v>Nordmazedonien</v>
      </c>
      <c r="C14" s="9">
        <f ca="1">VLOOKUP($A14,Gruppenphase!$AD$1:$AL$24,2)</f>
        <v>3</v>
      </c>
      <c r="D14" s="9">
        <f ca="1">VLOOKUP($A14,Gruppenphase!$AD$1:$AL$24,9)</f>
        <v>0</v>
      </c>
      <c r="E14" s="101" t="str">
        <f>helper!G13</f>
        <v>C4</v>
      </c>
      <c r="F14" s="97"/>
      <c r="G14" s="9"/>
      <c r="H14" s="9"/>
      <c r="I14" s="9"/>
      <c r="J14" s="9"/>
      <c r="K14" s="9"/>
      <c r="L14" s="9"/>
      <c r="M14" s="9"/>
      <c r="N14" s="9"/>
      <c r="O14" s="9"/>
    </row>
    <row r="15" spans="1:15" ht="15.75" x14ac:dyDescent="0.25">
      <c r="A15" s="9" t="str">
        <f ca="1">Gruppenphase!AP13</f>
        <v>D1</v>
      </c>
      <c r="B15" s="9" t="str">
        <f ca="1">VLOOKUP(A15,helper!$G$2:$H$25,2)</f>
        <v>England</v>
      </c>
      <c r="C15" s="9">
        <f ca="1">VLOOKUP($A15,Gruppenphase!$AD$1:$AL$24,2)</f>
        <v>3</v>
      </c>
      <c r="D15" s="9">
        <f ca="1">VLOOKUP($A15,Gruppenphase!$AD$1:$AL$24,9)</f>
        <v>7</v>
      </c>
      <c r="E15" s="101" t="str">
        <f>helper!G14</f>
        <v>D1</v>
      </c>
      <c r="F15" s="97"/>
      <c r="G15" s="9"/>
      <c r="H15" s="9"/>
      <c r="I15" s="9"/>
      <c r="J15" s="9"/>
      <c r="K15" s="9"/>
      <c r="L15" s="9"/>
      <c r="M15" s="9"/>
      <c r="N15" s="9"/>
      <c r="O15" s="9"/>
    </row>
    <row r="16" spans="1:15" ht="15.75" x14ac:dyDescent="0.25">
      <c r="A16" s="9" t="str">
        <f ca="1">Gruppenphase!AP14</f>
        <v>D2</v>
      </c>
      <c r="B16" s="9" t="str">
        <f ca="1">VLOOKUP(A16,helper!$G$2:$H$25,2)</f>
        <v>Kroatien</v>
      </c>
      <c r="C16" s="9">
        <f ca="1">VLOOKUP($A16,Gruppenphase!$AD$1:$AL$24,2)</f>
        <v>3</v>
      </c>
      <c r="D16" s="9">
        <f ca="1">VLOOKUP($A16,Gruppenphase!$AD$1:$AL$24,9)</f>
        <v>4</v>
      </c>
      <c r="E16" s="101" t="str">
        <f>helper!G15</f>
        <v>D2</v>
      </c>
      <c r="F16" s="97"/>
      <c r="G16" s="9"/>
      <c r="H16" s="9"/>
      <c r="I16" s="9"/>
      <c r="J16" s="9"/>
      <c r="K16" s="9"/>
      <c r="L16" s="9"/>
      <c r="M16" s="9"/>
      <c r="N16" s="9"/>
      <c r="O16" s="9"/>
    </row>
    <row r="17" spans="1:15" ht="15.75" x14ac:dyDescent="0.25">
      <c r="A17" s="9" t="str">
        <f ca="1">Gruppenphase!AP15</f>
        <v>D4</v>
      </c>
      <c r="B17" s="9" t="str">
        <f ca="1">VLOOKUP(A17,helper!$G$2:$H$25,2)</f>
        <v>Tschechien</v>
      </c>
      <c r="C17" s="9">
        <f ca="1">VLOOKUP($A17,Gruppenphase!$AD$1:$AL$24,2)</f>
        <v>3</v>
      </c>
      <c r="D17" s="9">
        <f ca="1">VLOOKUP($A17,Gruppenphase!$AD$1:$AL$24,9)</f>
        <v>4</v>
      </c>
      <c r="E17" s="101" t="str">
        <f>helper!G16</f>
        <v>D3</v>
      </c>
      <c r="F17" s="97"/>
      <c r="G17" s="9"/>
      <c r="H17" s="9"/>
      <c r="I17" s="9"/>
      <c r="J17" s="9"/>
      <c r="K17" s="9"/>
      <c r="L17" s="9"/>
      <c r="M17" s="9"/>
      <c r="N17" s="9"/>
      <c r="O17" s="9"/>
    </row>
    <row r="18" spans="1:15" ht="15.75" x14ac:dyDescent="0.25">
      <c r="A18" s="9" t="str">
        <f ca="1">Gruppenphase!AP16</f>
        <v>D3</v>
      </c>
      <c r="B18" s="9" t="str">
        <f ca="1">VLOOKUP(A18,helper!$G$2:$H$25,2)</f>
        <v>Schottland</v>
      </c>
      <c r="C18" s="9">
        <f ca="1">VLOOKUP($A18,Gruppenphase!$AD$1:$AL$24,2)</f>
        <v>3</v>
      </c>
      <c r="D18" s="9">
        <f ca="1">VLOOKUP($A18,Gruppenphase!$AD$1:$AL$24,9)</f>
        <v>1</v>
      </c>
      <c r="E18" s="101" t="str">
        <f>helper!G17</f>
        <v>D4</v>
      </c>
      <c r="F18" s="97"/>
      <c r="G18" s="9"/>
      <c r="H18" s="9"/>
      <c r="I18" s="9"/>
      <c r="J18" s="9"/>
      <c r="K18" s="9"/>
      <c r="L18" s="9"/>
      <c r="M18" s="9"/>
      <c r="N18" s="9"/>
      <c r="O18" s="9"/>
    </row>
    <row r="19" spans="1:15" ht="15.75" x14ac:dyDescent="0.25">
      <c r="A19" s="9" t="str">
        <f ca="1">Gruppenphase!AP17</f>
        <v>E2</v>
      </c>
      <c r="B19" s="9" t="str">
        <f ca="1">VLOOKUP(A19,helper!$G$2:$H$25,2)</f>
        <v>Schweden</v>
      </c>
      <c r="C19" s="9">
        <f ca="1">VLOOKUP($A19,Gruppenphase!$AD$1:$AL$24,2)</f>
        <v>3</v>
      </c>
      <c r="D19" s="9">
        <f ca="1">VLOOKUP($A19,Gruppenphase!$AD$1:$AL$24,9)</f>
        <v>7</v>
      </c>
      <c r="E19" s="101" t="str">
        <f>helper!G18</f>
        <v>E1</v>
      </c>
      <c r="F19" s="97"/>
      <c r="G19" s="9"/>
      <c r="H19" s="9"/>
      <c r="I19" s="9"/>
      <c r="J19" s="9"/>
      <c r="K19" s="9"/>
      <c r="L19" s="9"/>
      <c r="M19" s="9"/>
      <c r="N19" s="9"/>
      <c r="O19" s="9"/>
    </row>
    <row r="20" spans="1:15" ht="15.75" x14ac:dyDescent="0.25">
      <c r="A20" s="9" t="str">
        <f ca="1">Gruppenphase!AP18</f>
        <v>E1</v>
      </c>
      <c r="B20" s="9" t="str">
        <f ca="1">VLOOKUP(A20,helper!$G$2:$H$25,2)</f>
        <v>Spanien</v>
      </c>
      <c r="C20" s="9">
        <f ca="1">VLOOKUP($A20,Gruppenphase!$AD$1:$AL$24,2)</f>
        <v>3</v>
      </c>
      <c r="D20" s="9">
        <f ca="1">VLOOKUP($A20,Gruppenphase!$AD$1:$AL$24,9)</f>
        <v>5</v>
      </c>
      <c r="E20" s="101" t="str">
        <f>helper!G19</f>
        <v>E2</v>
      </c>
      <c r="F20" s="97"/>
      <c r="G20" s="9"/>
      <c r="H20" s="9"/>
      <c r="I20" s="9"/>
      <c r="J20" s="9"/>
      <c r="K20" s="9"/>
      <c r="L20" s="9"/>
      <c r="M20" s="9"/>
      <c r="N20" s="9"/>
      <c r="O20" s="9"/>
    </row>
    <row r="21" spans="1:15" ht="15.75" x14ac:dyDescent="0.25">
      <c r="A21" s="9" t="str">
        <f ca="1">Gruppenphase!AP19</f>
        <v>E4</v>
      </c>
      <c r="B21" s="9" t="str">
        <f ca="1">VLOOKUP(A21,helper!$G$2:$H$25,2)</f>
        <v>Slowakei</v>
      </c>
      <c r="C21" s="9">
        <f ca="1">VLOOKUP($A21,Gruppenphase!$AD$1:$AL$24,2)</f>
        <v>3</v>
      </c>
      <c r="D21" s="9">
        <f ca="1">VLOOKUP($A21,Gruppenphase!$AD$1:$AL$24,9)</f>
        <v>3</v>
      </c>
      <c r="E21" s="101" t="str">
        <f>helper!G20</f>
        <v>E3</v>
      </c>
      <c r="F21" s="97"/>
      <c r="G21" s="9"/>
      <c r="H21" s="9"/>
      <c r="I21" s="9"/>
      <c r="J21" s="9"/>
      <c r="K21" s="9"/>
      <c r="L21" s="9"/>
      <c r="M21" s="9"/>
      <c r="N21" s="9"/>
      <c r="O21" s="9"/>
    </row>
    <row r="22" spans="1:15" ht="15.75" x14ac:dyDescent="0.25">
      <c r="A22" s="9" t="str">
        <f ca="1">Gruppenphase!AP20</f>
        <v>E3</v>
      </c>
      <c r="B22" s="9" t="str">
        <f ca="1">VLOOKUP(A22,helper!$G$2:$H$25,2)</f>
        <v>Polen</v>
      </c>
      <c r="C22" s="9">
        <f ca="1">VLOOKUP($A22,Gruppenphase!$AD$1:$AL$24,2)</f>
        <v>3</v>
      </c>
      <c r="D22" s="9">
        <f ca="1">VLOOKUP($A22,Gruppenphase!$AD$1:$AL$24,9)</f>
        <v>1</v>
      </c>
      <c r="E22" s="101" t="str">
        <f>helper!G21</f>
        <v>E4</v>
      </c>
      <c r="F22" s="97"/>
      <c r="G22" s="9"/>
      <c r="H22" s="9"/>
      <c r="I22" s="9"/>
      <c r="J22" s="9"/>
      <c r="K22" s="9"/>
      <c r="L22" s="9"/>
      <c r="M22" s="9"/>
      <c r="N22" s="9"/>
      <c r="O22" s="9"/>
    </row>
    <row r="23" spans="1:15" ht="15.75" x14ac:dyDescent="0.25">
      <c r="A23" s="9" t="str">
        <f ca="1">Gruppenphase!AP21</f>
        <v>F3</v>
      </c>
      <c r="B23" s="9" t="str">
        <f ca="1">VLOOKUP(A23,helper!$G$2:$H$25,2)</f>
        <v>Frankreich</v>
      </c>
      <c r="C23" s="9">
        <f ca="1">VLOOKUP($A23,Gruppenphase!$AD$1:$AL$24,2)</f>
        <v>3</v>
      </c>
      <c r="D23" s="9">
        <f ca="1">VLOOKUP($A23,Gruppenphase!$AD$1:$AL$24,9)</f>
        <v>5</v>
      </c>
      <c r="E23" s="101" t="str">
        <f>helper!G22</f>
        <v>F1</v>
      </c>
      <c r="F23" s="97"/>
      <c r="G23" s="9"/>
      <c r="H23" s="9"/>
      <c r="I23" s="9"/>
      <c r="J23" s="9"/>
      <c r="K23" s="9"/>
      <c r="L23" s="9"/>
      <c r="M23" s="9"/>
      <c r="N23" s="9"/>
      <c r="O23" s="9"/>
    </row>
    <row r="24" spans="1:15" ht="15.75" x14ac:dyDescent="0.25">
      <c r="A24" s="9" t="str">
        <f ca="1">Gruppenphase!AP22</f>
        <v>F4</v>
      </c>
      <c r="B24" s="9" t="str">
        <f ca="1">VLOOKUP(A24,helper!$G$2:$H$25,2)</f>
        <v>Deutschland</v>
      </c>
      <c r="C24" s="9">
        <f ca="1">VLOOKUP($A24,Gruppenphase!$AD$1:$AL$24,2)</f>
        <v>3</v>
      </c>
      <c r="D24" s="9">
        <f ca="1">VLOOKUP($A24,Gruppenphase!$AD$1:$AL$24,9)</f>
        <v>4</v>
      </c>
      <c r="E24" s="101" t="str">
        <f>helper!G23</f>
        <v>F2</v>
      </c>
      <c r="F24" s="97"/>
      <c r="G24" s="9"/>
      <c r="H24" s="9"/>
      <c r="I24" s="9"/>
      <c r="J24" s="9"/>
      <c r="K24" s="9"/>
      <c r="L24" s="9"/>
      <c r="M24" s="9"/>
      <c r="N24" s="9"/>
      <c r="O24" s="9"/>
    </row>
    <row r="25" spans="1:15" ht="15.75" x14ac:dyDescent="0.25">
      <c r="A25" s="9" t="str">
        <f ca="1">Gruppenphase!AP23</f>
        <v>F2</v>
      </c>
      <c r="B25" s="9" t="str">
        <f ca="1">VLOOKUP(A25,helper!$G$2:$H$25,2)</f>
        <v>Portugal</v>
      </c>
      <c r="C25" s="9">
        <f ca="1">VLOOKUP($A25,Gruppenphase!$AD$1:$AL$24,2)</f>
        <v>3</v>
      </c>
      <c r="D25" s="9">
        <f ca="1">VLOOKUP($A25,Gruppenphase!$AD$1:$AL$24,9)</f>
        <v>4</v>
      </c>
      <c r="E25" s="101" t="str">
        <f>helper!G24</f>
        <v>F3</v>
      </c>
      <c r="F25" s="97"/>
      <c r="G25" s="9"/>
      <c r="H25" s="9"/>
      <c r="I25" s="9"/>
      <c r="J25" s="9"/>
      <c r="K25" s="9"/>
      <c r="L25" s="9"/>
      <c r="M25" s="9"/>
      <c r="N25" s="9"/>
      <c r="O25" s="9"/>
    </row>
    <row r="26" spans="1:15" ht="16.5" thickBot="1" x14ac:dyDescent="0.3">
      <c r="A26" s="9" t="str">
        <f ca="1">Gruppenphase!AP24</f>
        <v>F1</v>
      </c>
      <c r="B26" s="9" t="str">
        <f ca="1">VLOOKUP(A26,helper!$G$2:$H$25,2)</f>
        <v>Ungarn</v>
      </c>
      <c r="C26" s="9">
        <f ca="1">VLOOKUP($A26,Gruppenphase!$AD$1:$AL$24,2)</f>
        <v>3</v>
      </c>
      <c r="D26" s="9">
        <f ca="1">VLOOKUP($A26,Gruppenphase!$AD$1:$AL$24,9)</f>
        <v>2</v>
      </c>
      <c r="E26" s="102" t="str">
        <f>helper!G25</f>
        <v>F4</v>
      </c>
      <c r="F26" s="98">
        <v>1</v>
      </c>
      <c r="G26" s="9"/>
      <c r="H26" s="9"/>
      <c r="I26" s="9"/>
      <c r="J26" s="9"/>
      <c r="K26" s="9"/>
      <c r="L26" s="9"/>
      <c r="M26" s="9"/>
      <c r="N26" s="9"/>
      <c r="O26" s="9"/>
    </row>
  </sheetData>
  <mergeCells count="2">
    <mergeCell ref="H1:O1"/>
    <mergeCell ref="A1:F1"/>
  </mergeCells>
  <conditionalFormatting sqref="A3:D26">
    <cfRule type="expression" dxfId="14" priority="2">
      <formula>OR(AND($C3=$C2,$D3=$D2),AND($C3=$C4,$D3=$D4))</formula>
    </cfRule>
    <cfRule type="expression" dxfId="13" priority="3">
      <formula>LEFT($A3,1)&lt;&gt;LEFT($A4,1)</formula>
    </cfRule>
  </conditionalFormatting>
  <conditionalFormatting sqref="H3:M8">
    <cfRule type="expression" dxfId="12" priority="1">
      <formula>OR(AND($J3=$J2,$K3=$K2,$L3=$L2,$M3=$M2),AND($J3=$J4,$K3=$K4,$L3=$L4,$M3=$M4))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CC36"/>
  <sheetViews>
    <sheetView topLeftCell="A7" zoomScaleNormal="100" workbookViewId="0">
      <selection activeCell="BW7" sqref="BW1:CC1048576"/>
    </sheetView>
  </sheetViews>
  <sheetFormatPr baseColWidth="10" defaultRowHeight="15.75" x14ac:dyDescent="0.25"/>
  <cols>
    <col min="1" max="3" width="3.7109375" style="1" customWidth="1"/>
    <col min="4" max="4" width="34.7109375" style="2" customWidth="1"/>
    <col min="5" max="5" width="17.7109375" style="1" customWidth="1"/>
    <col min="6" max="6" width="20.7109375" style="1" customWidth="1"/>
    <col min="7" max="7" width="4.7109375" style="1" customWidth="1"/>
    <col min="8" max="8" width="17.7109375" style="1" bestFit="1" customWidth="1"/>
    <col min="9" max="9" width="4.7109375" style="1" customWidth="1"/>
    <col min="10" max="10" width="1.7109375" style="4" customWidth="1"/>
    <col min="11" max="11" width="4.7109375" style="5" customWidth="1"/>
    <col min="12" max="12" width="17.7109375" style="1" bestFit="1" customWidth="1"/>
    <col min="13" max="13" width="4.7109375" style="1" customWidth="1"/>
    <col min="14" max="14" width="10.7109375" style="16" customWidth="1"/>
    <col min="15" max="36" width="3.7109375" style="1" hidden="1" customWidth="1"/>
    <col min="37" max="38" width="3.7109375" style="13" hidden="1" customWidth="1"/>
    <col min="39" max="39" width="7.7109375" style="1" hidden="1" customWidth="1"/>
    <col min="40" max="43" width="3.7109375" style="1" hidden="1" customWidth="1"/>
    <col min="44" max="45" width="3.7109375" style="1" customWidth="1"/>
    <col min="46" max="46" width="17.7109375" style="1" customWidth="1"/>
    <col min="47" max="50" width="3.7109375" style="1" customWidth="1"/>
    <col min="51" max="51" width="0.5703125" style="1" customWidth="1"/>
    <col min="52" max="52" width="3.7109375" style="1" customWidth="1"/>
    <col min="53" max="53" width="1.7109375" style="1" customWidth="1"/>
    <col min="54" max="54" width="3.7109375" style="1" customWidth="1"/>
    <col min="55" max="55" width="0.5703125" style="1" customWidth="1"/>
    <col min="56" max="56" width="3.7109375" style="1" customWidth="1"/>
    <col min="57" max="57" width="0.5703125" style="1" customWidth="1"/>
    <col min="58" max="60" width="3.7109375" style="1" customWidth="1"/>
    <col min="61" max="61" width="17.7109375" style="1" customWidth="1"/>
    <col min="62" max="65" width="3.7109375" style="1" customWidth="1"/>
    <col min="66" max="66" width="0.5703125" style="1" customWidth="1"/>
    <col min="67" max="67" width="3.7109375" style="1" customWidth="1"/>
    <col min="68" max="68" width="1.7109375" style="1" customWidth="1"/>
    <col min="69" max="69" width="3.7109375" style="1" customWidth="1"/>
    <col min="70" max="70" width="0.5703125" style="1" customWidth="1"/>
    <col min="71" max="71" width="3.7109375" style="1" customWidth="1"/>
    <col min="72" max="72" width="0.5703125" style="1" customWidth="1"/>
    <col min="73" max="73" width="3.7109375" style="1" customWidth="1"/>
    <col min="74" max="74" width="11.42578125" style="1"/>
    <col min="75" max="75" width="3.7109375" style="157" hidden="1" customWidth="1"/>
    <col min="76" max="76" width="17.7109375" style="157" hidden="1" customWidth="1"/>
    <col min="77" max="80" width="3.7109375" style="157" hidden="1" customWidth="1"/>
    <col min="81" max="81" width="17.7109375" style="1" hidden="1" customWidth="1"/>
    <col min="82" max="16384" width="11.42578125" style="1"/>
  </cols>
  <sheetData>
    <row r="1" spans="1:76" ht="18.75" customHeight="1" x14ac:dyDescent="0.25">
      <c r="A1" s="133">
        <v>1</v>
      </c>
      <c r="B1" s="134">
        <v>1</v>
      </c>
      <c r="C1" s="134" t="str">
        <f>LEFT(O1,1)</f>
        <v>A</v>
      </c>
      <c r="D1" s="135">
        <v>44358.875</v>
      </c>
      <c r="E1" s="3" t="s">
        <v>164</v>
      </c>
      <c r="F1" s="1" t="str">
        <f>VLOOKUP(E1,helper!$D$2:$E$12,2)</f>
        <v>Stadio Olimpico</v>
      </c>
      <c r="G1" s="131" t="s">
        <v>60</v>
      </c>
      <c r="H1" s="132" t="str">
        <f>VLOOKUP(G1,helper!$K$2:$L$25,2)</f>
        <v>Türkei</v>
      </c>
      <c r="I1" s="156">
        <v>0</v>
      </c>
      <c r="J1" s="154" t="s">
        <v>8</v>
      </c>
      <c r="K1" s="156">
        <v>3</v>
      </c>
      <c r="L1" s="155" t="str">
        <f>VLOOKUP(M1,helper!$K$2:$L$25,2)</f>
        <v>Italien</v>
      </c>
      <c r="M1" s="155" t="s">
        <v>63</v>
      </c>
      <c r="N1" s="84"/>
      <c r="O1" s="6" t="str">
        <f>VLOOKUP(G1,helper!$K$2:$M$25,3)</f>
        <v>A1</v>
      </c>
      <c r="P1" s="6">
        <f>IF(OR(ISBLANK(I1),ISBLANK(K1)),0,1)</f>
        <v>1</v>
      </c>
      <c r="Q1" s="6">
        <f>IF(I1&gt;K1,1,0)*P1</f>
        <v>0</v>
      </c>
      <c r="R1" s="6">
        <f>IF(I1=K1,1,0)*P1</f>
        <v>0</v>
      </c>
      <c r="S1" s="6">
        <f>IF(I1&lt;K1,1,0)*P1</f>
        <v>1</v>
      </c>
      <c r="T1" s="6">
        <f>I1*P1</f>
        <v>0</v>
      </c>
      <c r="U1" s="6">
        <f>K1*P1</f>
        <v>3</v>
      </c>
      <c r="V1" s="7" t="str">
        <f>VLOOKUP(M1,helper!$K$2:$M$25,3)</f>
        <v>A2</v>
      </c>
      <c r="W1" s="6">
        <f>IF(OR(ISBLANK(K1),ISBLANK(I1)),0,1)</f>
        <v>1</v>
      </c>
      <c r="X1" s="6">
        <f>IF(K1&gt;I1,1,0)*W1</f>
        <v>1</v>
      </c>
      <c r="Y1" s="6">
        <f>IF(K1=I1,1,0)*W1</f>
        <v>0</v>
      </c>
      <c r="Z1" s="6">
        <f>IF(K1&lt;I1,1,0)*W1</f>
        <v>0</v>
      </c>
      <c r="AA1" s="6">
        <f>K1*W1</f>
        <v>3</v>
      </c>
      <c r="AB1" s="6">
        <f>I1*W1</f>
        <v>0</v>
      </c>
      <c r="AC1" s="6"/>
      <c r="AD1" s="6" t="str">
        <f>helper!G2</f>
        <v>A1</v>
      </c>
      <c r="AE1" s="6">
        <f t="shared" ref="AE1:AE24" si="0">SUMIF($O$1:$O$36,$AD1,P$1:P$36)+SUMIF($V$1:$V$36,$AD1,W$1:W$36)</f>
        <v>3</v>
      </c>
      <c r="AF1" s="6">
        <f t="shared" ref="AF1:AF24" si="1">SUMIF($O$1:$O$36,$AD1,Q$1:Q$36)+SUMIF($V$1:$V$36,$AD1,X$1:X$36)</f>
        <v>0</v>
      </c>
      <c r="AG1" s="6">
        <f t="shared" ref="AG1:AG24" si="2">SUMIF($O$1:$O$36,$AD1,R$1:R$36)+SUMIF($V$1:$V$36,$AD1,Y$1:Y$36)</f>
        <v>0</v>
      </c>
      <c r="AH1" s="6">
        <f t="shared" ref="AH1:AH24" si="3">SUMIF($O$1:$O$36,$AD1,S$1:S$36)+SUMIF($V$1:$V$36,$AD1,Z$1:Z$36)</f>
        <v>3</v>
      </c>
      <c r="AI1" s="6">
        <f t="shared" ref="AI1:AI24" si="4">SUMIF($O$1:$O$36,$AD1,T$1:T$36)+SUMIF($V$1:$V$36,$AD1,AA$1:AA$36)</f>
        <v>1</v>
      </c>
      <c r="AJ1" s="6">
        <f t="shared" ref="AJ1:AJ24" si="5">SUMIF($O$1:$O$36,$AD1,U$1:U$36)+SUMIF($V$1:$V$36,$AD1,AB$1:AB$36)</f>
        <v>8</v>
      </c>
      <c r="AK1" s="85">
        <f>AI1-AJ1</f>
        <v>-7</v>
      </c>
      <c r="AL1" s="6">
        <f>SUMPRODUCT(AF1:AH1,{3,1,0})</f>
        <v>0</v>
      </c>
      <c r="AM1" s="85">
        <f>(AL1+'tie breaker'!F3/10)*1000000+(50+AK1)*1000+(AI1)*10+5-RIGHT(AD1,1)</f>
        <v>43014</v>
      </c>
      <c r="AN1" s="85">
        <f t="shared" ref="AN1:AN24" ca="1" si="6">_xlfn.RANK.EQ(AM1,OFFSET($AM$1,INT((ROW()-1)/4)*4,0,4),0)</f>
        <v>4</v>
      </c>
      <c r="AO1" s="85">
        <f t="shared" ref="AO1:AO24" ca="1" si="7">MATCH(VALUE(RIGHT(AD1,1)),OFFSET($AN$1,INT((ROW()-1)/4)*4,0,4),0)</f>
        <v>2</v>
      </c>
      <c r="AP1" s="85" t="str">
        <f ca="1">INDEX(OFFSET($AD$1,INT((ROW()-1)/4)*4,0,4),AO1)</f>
        <v>A2</v>
      </c>
      <c r="AQ1" s="85" t="str">
        <f ca="1">AP1</f>
        <v>A2</v>
      </c>
      <c r="BW1" s="157" t="s">
        <v>196</v>
      </c>
      <c r="BX1" s="157" t="str">
        <f ca="1">AT19</f>
        <v>Italien</v>
      </c>
    </row>
    <row r="2" spans="1:76" ht="18.75" customHeight="1" x14ac:dyDescent="0.25">
      <c r="A2" s="133">
        <v>2</v>
      </c>
      <c r="B2" s="134">
        <v>1</v>
      </c>
      <c r="C2" s="134" t="str">
        <f t="shared" ref="C2:C36" si="8">LEFT(O2,1)</f>
        <v>A</v>
      </c>
      <c r="D2" s="135">
        <v>44359.625</v>
      </c>
      <c r="E2" s="3" t="s">
        <v>162</v>
      </c>
      <c r="F2" s="1" t="str">
        <f>VLOOKUP(E2,helper!$D$2:$E$12,2)</f>
        <v>Bakı Milli Stadionu</v>
      </c>
      <c r="G2" s="131" t="s">
        <v>53</v>
      </c>
      <c r="H2" s="132" t="str">
        <f>VLOOKUP(G2,helper!$K$2:$L$25,2)</f>
        <v>Wales</v>
      </c>
      <c r="I2" s="156">
        <v>1</v>
      </c>
      <c r="J2" s="154" t="s">
        <v>8</v>
      </c>
      <c r="K2" s="156">
        <v>1</v>
      </c>
      <c r="L2" s="155" t="str">
        <f>VLOOKUP(M2,helper!$K$2:$L$25,2)</f>
        <v>Schweiz</v>
      </c>
      <c r="M2" s="155" t="s">
        <v>50</v>
      </c>
      <c r="N2" s="84"/>
      <c r="O2" s="6" t="str">
        <f>VLOOKUP(G2,helper!$K$2:$M$25,3)</f>
        <v>A3</v>
      </c>
      <c r="P2" s="6">
        <f t="shared" ref="P2:P36" si="9">IF(OR(ISBLANK(I2),ISBLANK(K2)),0,1)</f>
        <v>1</v>
      </c>
      <c r="Q2" s="6">
        <f t="shared" ref="Q2:Q36" si="10">IF(I2&gt;K2,1,0)*P2</f>
        <v>0</v>
      </c>
      <c r="R2" s="6">
        <f t="shared" ref="R2:R36" si="11">IF(I2=K2,1,0)*P2</f>
        <v>1</v>
      </c>
      <c r="S2" s="6">
        <f t="shared" ref="S2:S36" si="12">IF(I2&lt;K2,1,0)*P2</f>
        <v>0</v>
      </c>
      <c r="T2" s="6">
        <f t="shared" ref="T2:T36" si="13">I2*P2</f>
        <v>1</v>
      </c>
      <c r="U2" s="6">
        <f t="shared" ref="U2:U36" si="14">K2*P2</f>
        <v>1</v>
      </c>
      <c r="V2" s="7" t="str">
        <f>VLOOKUP(M2,helper!$K$2:$M$25,3)</f>
        <v>A4</v>
      </c>
      <c r="W2" s="6">
        <f t="shared" ref="W2:W36" si="15">IF(OR(ISBLANK(K2),ISBLANK(I2)),0,1)</f>
        <v>1</v>
      </c>
      <c r="X2" s="6">
        <f t="shared" ref="X2:X36" si="16">IF(K2&gt;I2,1,0)*W2</f>
        <v>0</v>
      </c>
      <c r="Y2" s="6">
        <f t="shared" ref="Y2:Y36" si="17">IF(K2=I2,1,0)*W2</f>
        <v>1</v>
      </c>
      <c r="Z2" s="6">
        <f t="shared" ref="Z2:Z36" si="18">IF(K2&lt;I2,1,0)*W2</f>
        <v>0</v>
      </c>
      <c r="AA2" s="6">
        <f t="shared" ref="AA2:AA36" si="19">K2*W2</f>
        <v>1</v>
      </c>
      <c r="AB2" s="6">
        <f t="shared" ref="AB2:AB36" si="20">I2*W2</f>
        <v>1</v>
      </c>
      <c r="AC2" s="6"/>
      <c r="AD2" s="6" t="str">
        <f>helper!G3</f>
        <v>A2</v>
      </c>
      <c r="AE2" s="6">
        <f t="shared" si="0"/>
        <v>3</v>
      </c>
      <c r="AF2" s="6">
        <f t="shared" si="1"/>
        <v>3</v>
      </c>
      <c r="AG2" s="6">
        <f t="shared" si="2"/>
        <v>0</v>
      </c>
      <c r="AH2" s="6">
        <f t="shared" si="3"/>
        <v>0</v>
      </c>
      <c r="AI2" s="6">
        <f t="shared" si="4"/>
        <v>7</v>
      </c>
      <c r="AJ2" s="6">
        <f t="shared" si="5"/>
        <v>0</v>
      </c>
      <c r="AK2" s="85">
        <f t="shared" ref="AK2:AK24" si="21">AI2-AJ2</f>
        <v>7</v>
      </c>
      <c r="AL2" s="6">
        <f>SUMPRODUCT(AF2:AH2,{3,1,0})</f>
        <v>9</v>
      </c>
      <c r="AM2" s="85">
        <f>(AL2+'tie breaker'!F4/10)*1000000+(50+AK2)*1000+(AI2)*10+5-RIGHT(AD2,1)</f>
        <v>9057073</v>
      </c>
      <c r="AN2" s="85">
        <f t="shared" ca="1" si="6"/>
        <v>1</v>
      </c>
      <c r="AO2" s="85">
        <f t="shared" ca="1" si="7"/>
        <v>3</v>
      </c>
      <c r="AP2" s="85" t="str">
        <f t="shared" ref="AP2:AP24" ca="1" si="22">INDEX(OFFSET($AD$1,INT((ROW()-1)/4)*4,0,4),AO2)</f>
        <v>A3</v>
      </c>
      <c r="AQ2" s="85" t="str">
        <f ca="1">AP2</f>
        <v>A3</v>
      </c>
      <c r="AS2" s="164" t="s">
        <v>183</v>
      </c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  <c r="BO2" s="164"/>
      <c r="BP2" s="164"/>
      <c r="BQ2" s="164"/>
      <c r="BR2" s="164"/>
      <c r="BS2" s="164"/>
      <c r="BT2" s="164"/>
      <c r="BU2" s="164"/>
      <c r="BW2" s="157" t="s">
        <v>198</v>
      </c>
      <c r="BX2" s="157" t="str">
        <f ca="1">BI19</f>
        <v>Belgien</v>
      </c>
    </row>
    <row r="3" spans="1:76" ht="18.75" customHeight="1" x14ac:dyDescent="0.25">
      <c r="A3" s="133">
        <v>3</v>
      </c>
      <c r="B3" s="134">
        <v>1</v>
      </c>
      <c r="C3" s="134" t="str">
        <f t="shared" si="8"/>
        <v>B</v>
      </c>
      <c r="D3" s="135">
        <v>44359.75</v>
      </c>
      <c r="E3" s="3" t="s">
        <v>166</v>
      </c>
      <c r="F3" s="1" t="str">
        <f>VLOOKUP(E3,helper!$D$2:$E$12,2)</f>
        <v>Parken</v>
      </c>
      <c r="G3" s="131" t="s">
        <v>178</v>
      </c>
      <c r="H3" s="132" t="str">
        <f>VLOOKUP(G3,helper!$K$2:$L$25,2)</f>
        <v>Dänemark</v>
      </c>
      <c r="I3" s="156">
        <v>0</v>
      </c>
      <c r="J3" s="154" t="s">
        <v>8</v>
      </c>
      <c r="K3" s="156">
        <v>1</v>
      </c>
      <c r="L3" s="155" t="str">
        <f>VLOOKUP(M3,helper!$K$2:$L$25,2)</f>
        <v>Finnland</v>
      </c>
      <c r="M3" s="155" t="s">
        <v>179</v>
      </c>
      <c r="N3" s="84"/>
      <c r="O3" s="6" t="str">
        <f>VLOOKUP(G3,helper!$K$2:$M$25,3)</f>
        <v>B1</v>
      </c>
      <c r="P3" s="6">
        <f t="shared" si="9"/>
        <v>1</v>
      </c>
      <c r="Q3" s="6">
        <f t="shared" si="10"/>
        <v>0</v>
      </c>
      <c r="R3" s="6">
        <f t="shared" si="11"/>
        <v>0</v>
      </c>
      <c r="S3" s="6">
        <f t="shared" si="12"/>
        <v>1</v>
      </c>
      <c r="T3" s="6">
        <f t="shared" si="13"/>
        <v>0</v>
      </c>
      <c r="U3" s="6">
        <f t="shared" si="14"/>
        <v>1</v>
      </c>
      <c r="V3" s="7" t="str">
        <f>VLOOKUP(M3,helper!$K$2:$M$25,3)</f>
        <v>B2</v>
      </c>
      <c r="W3" s="6">
        <f t="shared" si="15"/>
        <v>1</v>
      </c>
      <c r="X3" s="6">
        <f t="shared" si="16"/>
        <v>1</v>
      </c>
      <c r="Y3" s="6">
        <f t="shared" si="17"/>
        <v>0</v>
      </c>
      <c r="Z3" s="6">
        <f t="shared" si="18"/>
        <v>0</v>
      </c>
      <c r="AA3" s="6">
        <f t="shared" si="19"/>
        <v>1</v>
      </c>
      <c r="AB3" s="6">
        <f t="shared" si="20"/>
        <v>0</v>
      </c>
      <c r="AC3" s="6"/>
      <c r="AD3" s="6" t="str">
        <f>helper!G4</f>
        <v>A3</v>
      </c>
      <c r="AE3" s="6">
        <f t="shared" si="0"/>
        <v>3</v>
      </c>
      <c r="AF3" s="6">
        <f t="shared" si="1"/>
        <v>1</v>
      </c>
      <c r="AG3" s="6">
        <f t="shared" si="2"/>
        <v>1</v>
      </c>
      <c r="AH3" s="6">
        <f t="shared" si="3"/>
        <v>1</v>
      </c>
      <c r="AI3" s="6">
        <f t="shared" si="4"/>
        <v>3</v>
      </c>
      <c r="AJ3" s="6">
        <f t="shared" si="5"/>
        <v>2</v>
      </c>
      <c r="AK3" s="85">
        <f t="shared" si="21"/>
        <v>1</v>
      </c>
      <c r="AL3" s="6">
        <f>SUMPRODUCT(AF3:AH3,{3,1,0})</f>
        <v>4</v>
      </c>
      <c r="AM3" s="85">
        <f>(AL3+'tie breaker'!F5/10)*1000000+(50+AK3)*1000+(AI3)*10+5-RIGHT(AD3,1)</f>
        <v>4051032</v>
      </c>
      <c r="AN3" s="85">
        <f t="shared" ca="1" si="6"/>
        <v>2</v>
      </c>
      <c r="AO3" s="85">
        <f t="shared" ca="1" si="7"/>
        <v>4</v>
      </c>
      <c r="AP3" s="85" t="str">
        <f t="shared" ca="1" si="22"/>
        <v>A4</v>
      </c>
      <c r="AQ3" s="85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  <c r="BD3" s="164"/>
      <c r="BE3" s="164"/>
      <c r="BF3" s="164"/>
      <c r="BG3" s="164"/>
      <c r="BH3" s="164"/>
      <c r="BI3" s="164"/>
      <c r="BJ3" s="164"/>
      <c r="BK3" s="164"/>
      <c r="BL3" s="164"/>
      <c r="BM3" s="164"/>
      <c r="BN3" s="164"/>
      <c r="BO3" s="164"/>
      <c r="BP3" s="164"/>
      <c r="BQ3" s="164"/>
      <c r="BR3" s="164"/>
      <c r="BS3" s="164"/>
      <c r="BT3" s="164"/>
      <c r="BU3" s="164"/>
      <c r="BW3" s="157" t="s">
        <v>200</v>
      </c>
      <c r="BX3" s="157" t="str">
        <f ca="1">AT26</f>
        <v>Niederlande</v>
      </c>
    </row>
    <row r="4" spans="1:76" ht="18.75" customHeight="1" x14ac:dyDescent="0.25">
      <c r="A4" s="133">
        <v>4</v>
      </c>
      <c r="B4" s="134">
        <v>1</v>
      </c>
      <c r="C4" s="134" t="str">
        <f t="shared" si="8"/>
        <v>B</v>
      </c>
      <c r="D4" s="135">
        <v>44359.875</v>
      </c>
      <c r="E4" s="3" t="s">
        <v>193</v>
      </c>
      <c r="F4" s="1" t="str">
        <f>VLOOKUP(E4,helper!$D$2:$E$12,2)</f>
        <v>Krestowski-Stadion</v>
      </c>
      <c r="G4" s="131" t="s">
        <v>62</v>
      </c>
      <c r="H4" s="132" t="str">
        <f>VLOOKUP(G4,helper!$K$2:$L$25,2)</f>
        <v>Belgien</v>
      </c>
      <c r="I4" s="156">
        <v>3</v>
      </c>
      <c r="J4" s="154" t="s">
        <v>8</v>
      </c>
      <c r="K4" s="156">
        <v>0</v>
      </c>
      <c r="L4" s="155" t="str">
        <f>VLOOKUP(M4,helper!$K$2:$L$25,2)</f>
        <v>Russland</v>
      </c>
      <c r="M4" s="155" t="s">
        <v>52</v>
      </c>
      <c r="N4" s="84"/>
      <c r="O4" s="6" t="str">
        <f>VLOOKUP(G4,helper!$K$2:$M$25,3)</f>
        <v>B3</v>
      </c>
      <c r="P4" s="6">
        <f t="shared" si="9"/>
        <v>1</v>
      </c>
      <c r="Q4" s="6">
        <f t="shared" si="10"/>
        <v>1</v>
      </c>
      <c r="R4" s="6">
        <f t="shared" si="11"/>
        <v>0</v>
      </c>
      <c r="S4" s="6">
        <f t="shared" si="12"/>
        <v>0</v>
      </c>
      <c r="T4" s="6">
        <f t="shared" si="13"/>
        <v>3</v>
      </c>
      <c r="U4" s="6">
        <f t="shared" si="14"/>
        <v>0</v>
      </c>
      <c r="V4" s="7" t="str">
        <f>VLOOKUP(M4,helper!$K$2:$M$25,3)</f>
        <v>B4</v>
      </c>
      <c r="W4" s="6">
        <f t="shared" si="15"/>
        <v>1</v>
      </c>
      <c r="X4" s="6">
        <f t="shared" si="16"/>
        <v>0</v>
      </c>
      <c r="Y4" s="6">
        <f t="shared" si="17"/>
        <v>0</v>
      </c>
      <c r="Z4" s="6">
        <f t="shared" si="18"/>
        <v>1</v>
      </c>
      <c r="AA4" s="6">
        <f t="shared" si="19"/>
        <v>0</v>
      </c>
      <c r="AB4" s="6">
        <f t="shared" si="20"/>
        <v>3</v>
      </c>
      <c r="AC4" s="6"/>
      <c r="AD4" s="6" t="str">
        <f>helper!G5</f>
        <v>A4</v>
      </c>
      <c r="AE4" s="6">
        <f t="shared" si="0"/>
        <v>3</v>
      </c>
      <c r="AF4" s="6">
        <f t="shared" si="1"/>
        <v>1</v>
      </c>
      <c r="AG4" s="6">
        <f t="shared" si="2"/>
        <v>1</v>
      </c>
      <c r="AH4" s="6">
        <f t="shared" si="3"/>
        <v>1</v>
      </c>
      <c r="AI4" s="6">
        <f t="shared" si="4"/>
        <v>4</v>
      </c>
      <c r="AJ4" s="6">
        <f t="shared" si="5"/>
        <v>5</v>
      </c>
      <c r="AK4" s="85">
        <f t="shared" si="21"/>
        <v>-1</v>
      </c>
      <c r="AL4" s="6">
        <f>SUMPRODUCT(AF4:AH4,{3,1,0})</f>
        <v>4</v>
      </c>
      <c r="AM4" s="85">
        <f>(AL4+'tie breaker'!F6/10)*1000000+(50+AK4)*1000+(AI4)*10+5-RIGHT(AD4,1)</f>
        <v>4049041</v>
      </c>
      <c r="AN4" s="85">
        <f t="shared" ca="1" si="6"/>
        <v>3</v>
      </c>
      <c r="AO4" s="85">
        <f t="shared" ca="1" si="7"/>
        <v>1</v>
      </c>
      <c r="AP4" s="85" t="str">
        <f t="shared" ca="1" si="22"/>
        <v>A1</v>
      </c>
      <c r="AQ4" s="85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4"/>
      <c r="BO4" s="164"/>
      <c r="BP4" s="164"/>
      <c r="BQ4" s="164"/>
      <c r="BR4" s="164"/>
      <c r="BS4" s="164"/>
      <c r="BT4" s="164"/>
      <c r="BU4" s="164"/>
      <c r="BW4" s="157" t="s">
        <v>202</v>
      </c>
      <c r="BX4" s="157" t="str">
        <f ca="1">BI26</f>
        <v>England</v>
      </c>
    </row>
    <row r="5" spans="1:76" ht="18.75" customHeight="1" x14ac:dyDescent="0.25">
      <c r="A5" s="133">
        <v>5</v>
      </c>
      <c r="B5" s="134">
        <v>1</v>
      </c>
      <c r="C5" s="134" t="str">
        <f t="shared" si="8"/>
        <v>D</v>
      </c>
      <c r="D5" s="135">
        <v>44360.625</v>
      </c>
      <c r="E5" s="3" t="s">
        <v>161</v>
      </c>
      <c r="F5" s="1" t="str">
        <f>VLOOKUP(E5,helper!$D$2:$E$12,2)</f>
        <v>Wembley Stadium</v>
      </c>
      <c r="G5" s="131" t="s">
        <v>51</v>
      </c>
      <c r="H5" s="132" t="str">
        <f>VLOOKUP(G5,helper!$K$2:$L$25,2)</f>
        <v>England</v>
      </c>
      <c r="I5" s="156">
        <v>1</v>
      </c>
      <c r="J5" s="154" t="s">
        <v>8</v>
      </c>
      <c r="K5" s="156">
        <v>0</v>
      </c>
      <c r="L5" s="155" t="str">
        <f>VLOOKUP(M5,helper!$K$2:$L$25,2)</f>
        <v>Kroatien</v>
      </c>
      <c r="M5" s="155" t="s">
        <v>61</v>
      </c>
      <c r="N5" s="84"/>
      <c r="O5" s="6" t="str">
        <f>VLOOKUP(G5,helper!$K$2:$M$25,3)</f>
        <v>D1</v>
      </c>
      <c r="P5" s="6">
        <f t="shared" si="9"/>
        <v>1</v>
      </c>
      <c r="Q5" s="6">
        <f t="shared" si="10"/>
        <v>1</v>
      </c>
      <c r="R5" s="6">
        <f t="shared" si="11"/>
        <v>0</v>
      </c>
      <c r="S5" s="6">
        <f t="shared" si="12"/>
        <v>0</v>
      </c>
      <c r="T5" s="6">
        <f t="shared" si="13"/>
        <v>1</v>
      </c>
      <c r="U5" s="6">
        <f t="shared" si="14"/>
        <v>0</v>
      </c>
      <c r="V5" s="7" t="str">
        <f>VLOOKUP(M5,helper!$K$2:$M$25,3)</f>
        <v>D2</v>
      </c>
      <c r="W5" s="6">
        <f t="shared" si="15"/>
        <v>1</v>
      </c>
      <c r="X5" s="6">
        <f t="shared" si="16"/>
        <v>0</v>
      </c>
      <c r="Y5" s="6">
        <f t="shared" si="17"/>
        <v>0</v>
      </c>
      <c r="Z5" s="6">
        <f t="shared" si="18"/>
        <v>1</v>
      </c>
      <c r="AA5" s="6">
        <f t="shared" si="19"/>
        <v>0</v>
      </c>
      <c r="AB5" s="6">
        <f t="shared" si="20"/>
        <v>1</v>
      </c>
      <c r="AC5" s="6"/>
      <c r="AD5" s="6" t="str">
        <f>helper!G6</f>
        <v>B1</v>
      </c>
      <c r="AE5" s="6">
        <f t="shared" si="0"/>
        <v>3</v>
      </c>
      <c r="AF5" s="6">
        <f t="shared" si="1"/>
        <v>1</v>
      </c>
      <c r="AG5" s="6">
        <f t="shared" si="2"/>
        <v>0</v>
      </c>
      <c r="AH5" s="6">
        <f t="shared" si="3"/>
        <v>2</v>
      </c>
      <c r="AI5" s="6">
        <f t="shared" si="4"/>
        <v>5</v>
      </c>
      <c r="AJ5" s="6">
        <f t="shared" si="5"/>
        <v>4</v>
      </c>
      <c r="AK5" s="85">
        <f t="shared" si="21"/>
        <v>1</v>
      </c>
      <c r="AL5" s="6">
        <f>SUMPRODUCT(AF5:AH5,{3,1,0})</f>
        <v>3</v>
      </c>
      <c r="AM5" s="85">
        <f>(AL5+'tie breaker'!F7/10)*1000000+(50+AK5)*1000+(AI5)*10+5-RIGHT(AD5,1)</f>
        <v>3051054</v>
      </c>
      <c r="AN5" s="85">
        <f t="shared" ca="1" si="6"/>
        <v>2</v>
      </c>
      <c r="AO5" s="85">
        <f t="shared" ca="1" si="7"/>
        <v>3</v>
      </c>
      <c r="AP5" s="85" t="str">
        <f t="shared" ca="1" si="22"/>
        <v>B3</v>
      </c>
      <c r="AQ5" s="85" t="str">
        <f ca="1">AP5</f>
        <v>B3</v>
      </c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W5" s="157" t="s">
        <v>204</v>
      </c>
      <c r="BX5" s="157" t="str">
        <f ca="1">AT33</f>
        <v>Schweden</v>
      </c>
    </row>
    <row r="6" spans="1:76" ht="18.75" customHeight="1" x14ac:dyDescent="0.25">
      <c r="A6" s="133">
        <v>6</v>
      </c>
      <c r="B6" s="134">
        <v>1</v>
      </c>
      <c r="C6" s="134" t="str">
        <f t="shared" si="8"/>
        <v>C</v>
      </c>
      <c r="D6" s="135">
        <v>44360.75</v>
      </c>
      <c r="E6" s="3" t="s">
        <v>170</v>
      </c>
      <c r="F6" s="1" t="str">
        <f>VLOOKUP(E6,helper!$D$2:$E$12,2)</f>
        <v>Arena Națională</v>
      </c>
      <c r="G6" s="131" t="s">
        <v>66</v>
      </c>
      <c r="H6" s="132" t="str">
        <f>VLOOKUP(G6,helper!$K$2:$L$25,2)</f>
        <v>&gt; Österreich</v>
      </c>
      <c r="I6" s="156">
        <v>3</v>
      </c>
      <c r="J6" s="154" t="s">
        <v>8</v>
      </c>
      <c r="K6" s="156">
        <v>1</v>
      </c>
      <c r="L6" s="155" t="str">
        <f>VLOOKUP(M6,helper!$K$2:$L$25,2)</f>
        <v>Nordmazedonien</v>
      </c>
      <c r="M6" s="155" t="s">
        <v>181</v>
      </c>
      <c r="N6" s="84"/>
      <c r="O6" s="6" t="str">
        <f>VLOOKUP(G6,helper!$K$2:$M$25,3)</f>
        <v>C3</v>
      </c>
      <c r="P6" s="6">
        <f t="shared" si="9"/>
        <v>1</v>
      </c>
      <c r="Q6" s="6">
        <f t="shared" si="10"/>
        <v>1</v>
      </c>
      <c r="R6" s="6">
        <f t="shared" si="11"/>
        <v>0</v>
      </c>
      <c r="S6" s="6">
        <f t="shared" si="12"/>
        <v>0</v>
      </c>
      <c r="T6" s="6">
        <f t="shared" si="13"/>
        <v>3</v>
      </c>
      <c r="U6" s="6">
        <f t="shared" si="14"/>
        <v>1</v>
      </c>
      <c r="V6" s="7" t="str">
        <f>VLOOKUP(M6,helper!$K$2:$M$25,3)</f>
        <v>C4</v>
      </c>
      <c r="W6" s="6">
        <f t="shared" si="15"/>
        <v>1</v>
      </c>
      <c r="X6" s="6">
        <f t="shared" si="16"/>
        <v>0</v>
      </c>
      <c r="Y6" s="6">
        <f t="shared" si="17"/>
        <v>0</v>
      </c>
      <c r="Z6" s="6">
        <f t="shared" si="18"/>
        <v>1</v>
      </c>
      <c r="AA6" s="6">
        <f t="shared" si="19"/>
        <v>1</v>
      </c>
      <c r="AB6" s="6">
        <f t="shared" si="20"/>
        <v>3</v>
      </c>
      <c r="AC6" s="6"/>
      <c r="AD6" s="6" t="str">
        <f>helper!G7</f>
        <v>B2</v>
      </c>
      <c r="AE6" s="6">
        <f t="shared" si="0"/>
        <v>3</v>
      </c>
      <c r="AF6" s="6">
        <f t="shared" si="1"/>
        <v>1</v>
      </c>
      <c r="AG6" s="6">
        <f t="shared" si="2"/>
        <v>0</v>
      </c>
      <c r="AH6" s="6">
        <f t="shared" si="3"/>
        <v>2</v>
      </c>
      <c r="AI6" s="6">
        <f t="shared" si="4"/>
        <v>1</v>
      </c>
      <c r="AJ6" s="6">
        <f t="shared" si="5"/>
        <v>3</v>
      </c>
      <c r="AK6" s="85">
        <f t="shared" si="21"/>
        <v>-2</v>
      </c>
      <c r="AL6" s="6">
        <f>SUMPRODUCT(AF6:AH6,{3,1,0})</f>
        <v>3</v>
      </c>
      <c r="AM6" s="85">
        <f>(AL6+'tie breaker'!F8/10)*1000000+(50+AK6)*1000+(AI6)*10+5-RIGHT(AD6,1)</f>
        <v>3048013</v>
      </c>
      <c r="AN6" s="85">
        <f t="shared" ca="1" si="6"/>
        <v>3</v>
      </c>
      <c r="AO6" s="85">
        <f t="shared" ca="1" si="7"/>
        <v>1</v>
      </c>
      <c r="AP6" s="85" t="str">
        <f t="shared" ca="1" si="22"/>
        <v>B1</v>
      </c>
      <c r="AQ6" s="85" t="str">
        <f ca="1">AP6</f>
        <v>B1</v>
      </c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4"/>
      <c r="BD6" s="164"/>
      <c r="BE6" s="164"/>
      <c r="BF6" s="164"/>
      <c r="BG6" s="164"/>
      <c r="BH6" s="164"/>
      <c r="BI6" s="164"/>
      <c r="BJ6" s="164"/>
      <c r="BK6" s="164"/>
      <c r="BL6" s="164"/>
      <c r="BM6" s="164"/>
      <c r="BN6" s="164"/>
      <c r="BO6" s="164"/>
      <c r="BP6" s="164"/>
      <c r="BQ6" s="164"/>
      <c r="BR6" s="164"/>
      <c r="BS6" s="164"/>
      <c r="BT6" s="164"/>
      <c r="BU6" s="164"/>
      <c r="BW6" s="157" t="s">
        <v>206</v>
      </c>
      <c r="BX6" s="157" t="str">
        <f ca="1">BI33</f>
        <v>Frankreich</v>
      </c>
    </row>
    <row r="7" spans="1:76" ht="18.75" customHeight="1" thickBot="1" x14ac:dyDescent="0.3">
      <c r="A7" s="133">
        <v>7</v>
      </c>
      <c r="B7" s="134">
        <v>1</v>
      </c>
      <c r="C7" s="134" t="str">
        <f t="shared" si="8"/>
        <v>C</v>
      </c>
      <c r="D7" s="135">
        <v>44360.875</v>
      </c>
      <c r="E7" s="3" t="s">
        <v>168</v>
      </c>
      <c r="F7" s="1" t="str">
        <f>VLOOKUP(E7,helper!$D$2:$E$12,2)</f>
        <v>Johan Cruijff ArenA</v>
      </c>
      <c r="G7" s="131" t="s">
        <v>180</v>
      </c>
      <c r="H7" s="132" t="str">
        <f>VLOOKUP(G7,helper!$K$2:$L$25,2)</f>
        <v>Niederlande</v>
      </c>
      <c r="I7" s="156">
        <v>3</v>
      </c>
      <c r="J7" s="154" t="s">
        <v>8</v>
      </c>
      <c r="K7" s="156">
        <v>2</v>
      </c>
      <c r="L7" s="155" t="str">
        <f>VLOOKUP(M7,helper!$K$2:$L$25,2)</f>
        <v>Ukraine</v>
      </c>
      <c r="M7" s="155" t="s">
        <v>56</v>
      </c>
      <c r="N7" s="84"/>
      <c r="O7" s="6" t="str">
        <f>VLOOKUP(G7,helper!$K$2:$M$25,3)</f>
        <v>C1</v>
      </c>
      <c r="P7" s="6">
        <f t="shared" si="9"/>
        <v>1</v>
      </c>
      <c r="Q7" s="6">
        <f t="shared" si="10"/>
        <v>1</v>
      </c>
      <c r="R7" s="6">
        <f t="shared" si="11"/>
        <v>0</v>
      </c>
      <c r="S7" s="6">
        <f t="shared" si="12"/>
        <v>0</v>
      </c>
      <c r="T7" s="6">
        <f t="shared" si="13"/>
        <v>3</v>
      </c>
      <c r="U7" s="6">
        <f t="shared" si="14"/>
        <v>2</v>
      </c>
      <c r="V7" s="7" t="str">
        <f>VLOOKUP(M7,helper!$K$2:$M$25,3)</f>
        <v>C2</v>
      </c>
      <c r="W7" s="6">
        <f t="shared" si="15"/>
        <v>1</v>
      </c>
      <c r="X7" s="6">
        <f t="shared" si="16"/>
        <v>0</v>
      </c>
      <c r="Y7" s="6">
        <f t="shared" si="17"/>
        <v>0</v>
      </c>
      <c r="Z7" s="6">
        <f t="shared" si="18"/>
        <v>1</v>
      </c>
      <c r="AA7" s="6">
        <f t="shared" si="19"/>
        <v>2</v>
      </c>
      <c r="AB7" s="6">
        <f t="shared" si="20"/>
        <v>3</v>
      </c>
      <c r="AC7" s="6"/>
      <c r="AD7" s="6" t="str">
        <f>helper!G8</f>
        <v>B3</v>
      </c>
      <c r="AE7" s="6">
        <f t="shared" si="0"/>
        <v>3</v>
      </c>
      <c r="AF7" s="6">
        <f t="shared" si="1"/>
        <v>3</v>
      </c>
      <c r="AG7" s="6">
        <f t="shared" si="2"/>
        <v>0</v>
      </c>
      <c r="AH7" s="6">
        <f t="shared" si="3"/>
        <v>0</v>
      </c>
      <c r="AI7" s="6">
        <f t="shared" si="4"/>
        <v>7</v>
      </c>
      <c r="AJ7" s="6">
        <f t="shared" si="5"/>
        <v>1</v>
      </c>
      <c r="AK7" s="85">
        <f t="shared" si="21"/>
        <v>6</v>
      </c>
      <c r="AL7" s="6">
        <f>SUMPRODUCT(AF7:AH7,{3,1,0})</f>
        <v>9</v>
      </c>
      <c r="AM7" s="85">
        <f>(AL7+'tie breaker'!F9/10)*1000000+(50+AK7)*1000+(AI7)*10+5-RIGHT(AD7,1)</f>
        <v>9056072</v>
      </c>
      <c r="AN7" s="85">
        <f t="shared" ca="1" si="6"/>
        <v>1</v>
      </c>
      <c r="AO7" s="85">
        <f t="shared" ca="1" si="7"/>
        <v>2</v>
      </c>
      <c r="AP7" s="85" t="str">
        <f t="shared" ca="1" si="22"/>
        <v>B2</v>
      </c>
      <c r="AQ7" s="85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W7" s="157" t="s">
        <v>197</v>
      </c>
      <c r="BX7" s="157" t="str">
        <f ca="1">AT20</f>
        <v>Wales</v>
      </c>
    </row>
    <row r="8" spans="1:76" ht="18.75" customHeight="1" x14ac:dyDescent="0.25">
      <c r="A8" s="133">
        <v>8</v>
      </c>
      <c r="B8" s="134">
        <v>1</v>
      </c>
      <c r="C8" s="134" t="str">
        <f t="shared" si="8"/>
        <v>D</v>
      </c>
      <c r="D8" s="135">
        <v>44361.625</v>
      </c>
      <c r="E8" s="3" t="s">
        <v>165</v>
      </c>
      <c r="F8" s="1" t="str">
        <f>VLOOKUP(E8,helper!$D$2:$E$12,2)</f>
        <v>Hampden Park</v>
      </c>
      <c r="G8" s="131" t="s">
        <v>182</v>
      </c>
      <c r="H8" s="132" t="str">
        <f>VLOOKUP(G8,helper!$K$2:$L$25,2)</f>
        <v>Schottland</v>
      </c>
      <c r="I8" s="156">
        <v>0</v>
      </c>
      <c r="J8" s="154" t="s">
        <v>8</v>
      </c>
      <c r="K8" s="156">
        <v>2</v>
      </c>
      <c r="L8" s="155" t="str">
        <f>VLOOKUP(M8,helper!$K$2:$L$25,2)</f>
        <v>Tschechien</v>
      </c>
      <c r="M8" s="155" t="s">
        <v>59</v>
      </c>
      <c r="N8" s="84"/>
      <c r="O8" s="6" t="str">
        <f>VLOOKUP(G8,helper!$K$2:$M$25,3)</f>
        <v>D3</v>
      </c>
      <c r="P8" s="6">
        <f t="shared" si="9"/>
        <v>1</v>
      </c>
      <c r="Q8" s="6">
        <f t="shared" si="10"/>
        <v>0</v>
      </c>
      <c r="R8" s="6">
        <f t="shared" si="11"/>
        <v>0</v>
      </c>
      <c r="S8" s="6">
        <f t="shared" si="12"/>
        <v>1</v>
      </c>
      <c r="T8" s="6">
        <f t="shared" si="13"/>
        <v>0</v>
      </c>
      <c r="U8" s="6">
        <f t="shared" si="14"/>
        <v>2</v>
      </c>
      <c r="V8" s="7" t="str">
        <f>VLOOKUP(M8,helper!$K$2:$M$25,3)</f>
        <v>D4</v>
      </c>
      <c r="W8" s="6">
        <f t="shared" si="15"/>
        <v>1</v>
      </c>
      <c r="X8" s="6">
        <f t="shared" si="16"/>
        <v>1</v>
      </c>
      <c r="Y8" s="6">
        <f t="shared" si="17"/>
        <v>0</v>
      </c>
      <c r="Z8" s="6">
        <f t="shared" si="18"/>
        <v>0</v>
      </c>
      <c r="AA8" s="6">
        <f t="shared" si="19"/>
        <v>2</v>
      </c>
      <c r="AB8" s="6">
        <f t="shared" si="20"/>
        <v>0</v>
      </c>
      <c r="AC8" s="6"/>
      <c r="AD8" s="6" t="str">
        <f>helper!G9</f>
        <v>B4</v>
      </c>
      <c r="AE8" s="6">
        <f t="shared" si="0"/>
        <v>3</v>
      </c>
      <c r="AF8" s="6">
        <f t="shared" si="1"/>
        <v>1</v>
      </c>
      <c r="AG8" s="6">
        <f t="shared" si="2"/>
        <v>0</v>
      </c>
      <c r="AH8" s="6">
        <f t="shared" si="3"/>
        <v>2</v>
      </c>
      <c r="AI8" s="6">
        <f t="shared" si="4"/>
        <v>2</v>
      </c>
      <c r="AJ8" s="6">
        <f t="shared" si="5"/>
        <v>7</v>
      </c>
      <c r="AK8" s="85">
        <f t="shared" si="21"/>
        <v>-5</v>
      </c>
      <c r="AL8" s="6">
        <f>SUMPRODUCT(AF8:AH8,{3,1,0})</f>
        <v>3</v>
      </c>
      <c r="AM8" s="85">
        <f>(AL8+'tie breaker'!F10/10)*1000000+(50+AK8)*1000+(AI8)*10+5-RIGHT(AD8,1)</f>
        <v>3045021</v>
      </c>
      <c r="AN8" s="85">
        <f t="shared" ca="1" si="6"/>
        <v>4</v>
      </c>
      <c r="AO8" s="85">
        <f t="shared" ca="1" si="7"/>
        <v>4</v>
      </c>
      <c r="AP8" s="85" t="str">
        <f t="shared" ca="1" si="22"/>
        <v>B4</v>
      </c>
      <c r="AQ8" s="85"/>
      <c r="AS8" s="161" t="s">
        <v>151</v>
      </c>
      <c r="AT8" s="162"/>
      <c r="AU8" s="162"/>
      <c r="AV8" s="162"/>
      <c r="AW8" s="162"/>
      <c r="AX8" s="162"/>
      <c r="AY8" s="162"/>
      <c r="AZ8" s="162"/>
      <c r="BA8" s="162"/>
      <c r="BB8" s="162"/>
      <c r="BC8" s="162"/>
      <c r="BD8" s="162"/>
      <c r="BE8" s="162"/>
      <c r="BF8" s="163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W8" s="157" t="s">
        <v>199</v>
      </c>
      <c r="BX8" s="157" t="str">
        <f ca="1">BI20</f>
        <v>Dänemark</v>
      </c>
    </row>
    <row r="9" spans="1:76" ht="18.75" customHeight="1" x14ac:dyDescent="0.25">
      <c r="A9" s="133">
        <v>9</v>
      </c>
      <c r="B9" s="134">
        <v>1</v>
      </c>
      <c r="C9" s="134" t="str">
        <f t="shared" si="8"/>
        <v>E</v>
      </c>
      <c r="D9" s="135">
        <v>44361.75</v>
      </c>
      <c r="E9" s="3" t="s">
        <v>193</v>
      </c>
      <c r="F9" s="1" t="str">
        <f>VLOOKUP(E9,helper!$D$2:$E$12,2)</f>
        <v>Krestowski-Stadion</v>
      </c>
      <c r="G9" s="131" t="s">
        <v>57</v>
      </c>
      <c r="H9" s="132" t="str">
        <f>VLOOKUP(G9,helper!$K$2:$L$25,2)</f>
        <v>Polen</v>
      </c>
      <c r="I9" s="156">
        <v>1</v>
      </c>
      <c r="J9" s="154" t="s">
        <v>8</v>
      </c>
      <c r="K9" s="156">
        <v>2</v>
      </c>
      <c r="L9" s="155" t="str">
        <f>VLOOKUP(M9,helper!$K$2:$L$25,2)</f>
        <v>Slowakei</v>
      </c>
      <c r="M9" s="155" t="s">
        <v>54</v>
      </c>
      <c r="N9" s="84"/>
      <c r="O9" s="6" t="str">
        <f>VLOOKUP(G9,helper!$K$2:$M$25,3)</f>
        <v>E3</v>
      </c>
      <c r="P9" s="6">
        <f t="shared" si="9"/>
        <v>1</v>
      </c>
      <c r="Q9" s="6">
        <f t="shared" si="10"/>
        <v>0</v>
      </c>
      <c r="R9" s="6">
        <f t="shared" si="11"/>
        <v>0</v>
      </c>
      <c r="S9" s="6">
        <f t="shared" si="12"/>
        <v>1</v>
      </c>
      <c r="T9" s="6">
        <f t="shared" si="13"/>
        <v>1</v>
      </c>
      <c r="U9" s="6">
        <f t="shared" si="14"/>
        <v>2</v>
      </c>
      <c r="V9" s="7" t="str">
        <f>VLOOKUP(M9,helper!$K$2:$M$25,3)</f>
        <v>E4</v>
      </c>
      <c r="W9" s="6">
        <f t="shared" si="15"/>
        <v>1</v>
      </c>
      <c r="X9" s="6">
        <f t="shared" si="16"/>
        <v>1</v>
      </c>
      <c r="Y9" s="6">
        <f t="shared" si="17"/>
        <v>0</v>
      </c>
      <c r="Z9" s="6">
        <f t="shared" si="18"/>
        <v>0</v>
      </c>
      <c r="AA9" s="6">
        <f t="shared" si="19"/>
        <v>2</v>
      </c>
      <c r="AB9" s="6">
        <f t="shared" si="20"/>
        <v>1</v>
      </c>
      <c r="AC9" s="6"/>
      <c r="AD9" s="6" t="str">
        <f>helper!G10</f>
        <v>C1</v>
      </c>
      <c r="AE9" s="6">
        <f t="shared" si="0"/>
        <v>3</v>
      </c>
      <c r="AF9" s="6">
        <f t="shared" si="1"/>
        <v>3</v>
      </c>
      <c r="AG9" s="6">
        <f t="shared" si="2"/>
        <v>0</v>
      </c>
      <c r="AH9" s="6">
        <f t="shared" si="3"/>
        <v>0</v>
      </c>
      <c r="AI9" s="6">
        <f t="shared" si="4"/>
        <v>8</v>
      </c>
      <c r="AJ9" s="6">
        <f t="shared" si="5"/>
        <v>2</v>
      </c>
      <c r="AK9" s="85">
        <f t="shared" si="21"/>
        <v>6</v>
      </c>
      <c r="AL9" s="6">
        <f>SUMPRODUCT(AF9:AH9,{3,1,0})</f>
        <v>9</v>
      </c>
      <c r="AM9" s="85">
        <f>(AL9+'tie breaker'!F11/10)*1000000+(50+AK9)*1000+(AI9)*10+5-RIGHT(AD9,1)</f>
        <v>9056084</v>
      </c>
      <c r="AN9" s="85">
        <f t="shared" ca="1" si="6"/>
        <v>1</v>
      </c>
      <c r="AO9" s="85">
        <f t="shared" ca="1" si="7"/>
        <v>1</v>
      </c>
      <c r="AP9" s="85" t="str">
        <f t="shared" ca="1" si="22"/>
        <v>C1</v>
      </c>
      <c r="AQ9" s="85" t="str">
        <f ca="1">AP9</f>
        <v>C1</v>
      </c>
      <c r="AS9" s="103"/>
      <c r="AT9" s="104"/>
      <c r="AU9" s="105" t="s">
        <v>149</v>
      </c>
      <c r="AV9" s="106" t="s">
        <v>69</v>
      </c>
      <c r="AW9" s="106" t="s">
        <v>70</v>
      </c>
      <c r="AX9" s="106" t="s">
        <v>71</v>
      </c>
      <c r="AY9" s="106"/>
      <c r="AZ9" s="106" t="s">
        <v>73</v>
      </c>
      <c r="BA9" s="106"/>
      <c r="BB9" s="106" t="s">
        <v>74</v>
      </c>
      <c r="BC9" s="106"/>
      <c r="BD9" s="107" t="s">
        <v>150</v>
      </c>
      <c r="BE9" s="106"/>
      <c r="BF9" s="108" t="s">
        <v>72</v>
      </c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W9" s="157" t="s">
        <v>201</v>
      </c>
      <c r="BX9" s="157" t="str">
        <f ca="1">AT27</f>
        <v>&gt; Österreich</v>
      </c>
    </row>
    <row r="10" spans="1:76" ht="18.75" customHeight="1" x14ac:dyDescent="0.25">
      <c r="A10" s="133">
        <v>10</v>
      </c>
      <c r="B10" s="134">
        <v>1</v>
      </c>
      <c r="C10" s="134" t="str">
        <f t="shared" si="8"/>
        <v>E</v>
      </c>
      <c r="D10" s="135">
        <v>44361.875</v>
      </c>
      <c r="E10" s="3" t="s">
        <v>167</v>
      </c>
      <c r="F10" s="1" t="str">
        <f>VLOOKUP(E10,helper!$D$2:$E$12,2)</f>
        <v>Estadio Olímpico</v>
      </c>
      <c r="G10" s="131" t="s">
        <v>58</v>
      </c>
      <c r="H10" s="132" t="str">
        <f>VLOOKUP(G10,helper!$K$2:$L$25,2)</f>
        <v>Spanien</v>
      </c>
      <c r="I10" s="156">
        <v>0</v>
      </c>
      <c r="J10" s="154" t="s">
        <v>8</v>
      </c>
      <c r="K10" s="156">
        <v>0</v>
      </c>
      <c r="L10" s="155" t="str">
        <f>VLOOKUP(M10,helper!$K$2:$L$25,2)</f>
        <v>Schweden</v>
      </c>
      <c r="M10" s="155" t="s">
        <v>64</v>
      </c>
      <c r="N10" s="84"/>
      <c r="O10" s="6" t="str">
        <f>VLOOKUP(G10,helper!$K$2:$M$25,3)</f>
        <v>E1</v>
      </c>
      <c r="P10" s="6">
        <f t="shared" si="9"/>
        <v>1</v>
      </c>
      <c r="Q10" s="6">
        <f t="shared" si="10"/>
        <v>0</v>
      </c>
      <c r="R10" s="6">
        <f t="shared" si="11"/>
        <v>1</v>
      </c>
      <c r="S10" s="6">
        <f t="shared" si="12"/>
        <v>0</v>
      </c>
      <c r="T10" s="6">
        <f t="shared" si="13"/>
        <v>0</v>
      </c>
      <c r="U10" s="6">
        <f t="shared" si="14"/>
        <v>0</v>
      </c>
      <c r="V10" s="7" t="str">
        <f>VLOOKUP(M10,helper!$K$2:$M$25,3)</f>
        <v>E2</v>
      </c>
      <c r="W10" s="6">
        <f t="shared" si="15"/>
        <v>1</v>
      </c>
      <c r="X10" s="6">
        <f t="shared" si="16"/>
        <v>0</v>
      </c>
      <c r="Y10" s="6">
        <f t="shared" si="17"/>
        <v>1</v>
      </c>
      <c r="Z10" s="6">
        <f t="shared" si="18"/>
        <v>0</v>
      </c>
      <c r="AA10" s="6">
        <f t="shared" si="19"/>
        <v>0</v>
      </c>
      <c r="AB10" s="6">
        <f t="shared" si="20"/>
        <v>0</v>
      </c>
      <c r="AC10" s="6"/>
      <c r="AD10" s="6" t="str">
        <f>helper!G11</f>
        <v>C2</v>
      </c>
      <c r="AE10" s="6">
        <f t="shared" si="0"/>
        <v>3</v>
      </c>
      <c r="AF10" s="6">
        <f t="shared" si="1"/>
        <v>1</v>
      </c>
      <c r="AG10" s="6">
        <f t="shared" si="2"/>
        <v>0</v>
      </c>
      <c r="AH10" s="6">
        <f t="shared" si="3"/>
        <v>2</v>
      </c>
      <c r="AI10" s="6">
        <f t="shared" si="4"/>
        <v>4</v>
      </c>
      <c r="AJ10" s="6">
        <f t="shared" si="5"/>
        <v>5</v>
      </c>
      <c r="AK10" s="85">
        <f t="shared" si="21"/>
        <v>-1</v>
      </c>
      <c r="AL10" s="6">
        <f>SUMPRODUCT(AF10:AH10,{3,1,0})</f>
        <v>3</v>
      </c>
      <c r="AM10" s="85">
        <f>(AL10+'tie breaker'!F12/10)*1000000+(50+AK10)*1000+(AI10)*10+5-RIGHT(AD10,1)</f>
        <v>3049043</v>
      </c>
      <c r="AN10" s="85">
        <f t="shared" ca="1" si="6"/>
        <v>3</v>
      </c>
      <c r="AO10" s="85">
        <f t="shared" ca="1" si="7"/>
        <v>3</v>
      </c>
      <c r="AP10" s="85" t="str">
        <f t="shared" ca="1" si="22"/>
        <v>C3</v>
      </c>
      <c r="AQ10" s="85" t="str">
        <f ca="1">AP10</f>
        <v>C3</v>
      </c>
      <c r="AS10" s="21" t="str">
        <f ca="1">AP26</f>
        <v>F2</v>
      </c>
      <c r="AT10" s="109" t="str">
        <f ca="1">VLOOKUP(AS10,helper!$G$2:$I$25,2)&amp;IF(SUM($AU$10:$AU$15)=18,"",helper!$U$2)</f>
        <v>Portugal</v>
      </c>
      <c r="AU10" s="110">
        <f t="shared" ref="AU10:AU15" ca="1" si="23">VLOOKUP($AS10,$AD$1:$AL$24,2)</f>
        <v>3</v>
      </c>
      <c r="AV10" s="110">
        <f t="shared" ref="AV10:AV15" ca="1" si="24">VLOOKUP($AS10,$AD$1:$AL$24,3)</f>
        <v>1</v>
      </c>
      <c r="AW10" s="110">
        <f t="shared" ref="AW10:AW15" ca="1" si="25">VLOOKUP($AS10,$AD$1:$AL$24,4)</f>
        <v>1</v>
      </c>
      <c r="AX10" s="110">
        <f t="shared" ref="AX10:AX15" ca="1" si="26">VLOOKUP($AS10,$AD$1:$AL$24,5)</f>
        <v>1</v>
      </c>
      <c r="AY10" s="111"/>
      <c r="AZ10" s="110">
        <f t="shared" ref="AZ10:AZ15" ca="1" si="27">VLOOKUP($AS10,$AD$1:$AL$24,6)</f>
        <v>7</v>
      </c>
      <c r="BA10" s="110" t="s">
        <v>8</v>
      </c>
      <c r="BB10" s="110">
        <f t="shared" ref="BB10:BB15" ca="1" si="28">VLOOKUP($AS10,$AD$1:$AL$24,7)</f>
        <v>6</v>
      </c>
      <c r="BC10" s="111"/>
      <c r="BD10" s="112">
        <f t="shared" ref="BD10:BD15" ca="1" si="29">VLOOKUP($AS10,$AD$1:$AL$24,8)</f>
        <v>1</v>
      </c>
      <c r="BE10" s="114"/>
      <c r="BF10" s="113">
        <f t="shared" ref="BF10:BF15" ca="1" si="30">VLOOKUP($AS10,$AD$1:$AL$24,9)</f>
        <v>4</v>
      </c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W10" s="157" t="s">
        <v>203</v>
      </c>
      <c r="BX10" s="157" t="str">
        <f ca="1">BI27</f>
        <v>Kroatien</v>
      </c>
    </row>
    <row r="11" spans="1:76" ht="18.75" customHeight="1" x14ac:dyDescent="0.25">
      <c r="A11" s="133">
        <v>11</v>
      </c>
      <c r="B11" s="134">
        <v>1</v>
      </c>
      <c r="C11" s="134" t="str">
        <f t="shared" si="8"/>
        <v>F</v>
      </c>
      <c r="D11" s="135">
        <v>44362.75</v>
      </c>
      <c r="E11" s="3" t="s">
        <v>169</v>
      </c>
      <c r="F11" s="1" t="str">
        <f>VLOOKUP(E11,helper!$D$2:$E$12,2)</f>
        <v>Puskás Aréna</v>
      </c>
      <c r="G11" s="131" t="s">
        <v>67</v>
      </c>
      <c r="H11" s="132" t="str">
        <f>VLOOKUP(G11,helper!$K$2:$L$25,2)</f>
        <v>Ungarn</v>
      </c>
      <c r="I11" s="156">
        <v>0</v>
      </c>
      <c r="J11" s="154" t="s">
        <v>8</v>
      </c>
      <c r="K11" s="156">
        <v>3</v>
      </c>
      <c r="L11" s="155" t="str">
        <f>VLOOKUP(M11,helper!$K$2:$L$25,2)</f>
        <v>Portugal</v>
      </c>
      <c r="M11" s="155" t="s">
        <v>65</v>
      </c>
      <c r="N11" s="84"/>
      <c r="O11" s="6" t="str">
        <f>VLOOKUP(G11,helper!$K$2:$M$25,3)</f>
        <v>F1</v>
      </c>
      <c r="P11" s="6">
        <f t="shared" si="9"/>
        <v>1</v>
      </c>
      <c r="Q11" s="6">
        <f t="shared" si="10"/>
        <v>0</v>
      </c>
      <c r="R11" s="6">
        <f t="shared" si="11"/>
        <v>0</v>
      </c>
      <c r="S11" s="6">
        <f t="shared" si="12"/>
        <v>1</v>
      </c>
      <c r="T11" s="6">
        <f t="shared" si="13"/>
        <v>0</v>
      </c>
      <c r="U11" s="6">
        <f t="shared" si="14"/>
        <v>3</v>
      </c>
      <c r="V11" s="7" t="str">
        <f>VLOOKUP(M11,helper!$K$2:$M$25,3)</f>
        <v>F2</v>
      </c>
      <c r="W11" s="6">
        <f t="shared" si="15"/>
        <v>1</v>
      </c>
      <c r="X11" s="6">
        <f t="shared" si="16"/>
        <v>1</v>
      </c>
      <c r="Y11" s="6">
        <f t="shared" si="17"/>
        <v>0</v>
      </c>
      <c r="Z11" s="6">
        <f t="shared" si="18"/>
        <v>0</v>
      </c>
      <c r="AA11" s="6">
        <f t="shared" si="19"/>
        <v>3</v>
      </c>
      <c r="AB11" s="6">
        <f t="shared" si="20"/>
        <v>0</v>
      </c>
      <c r="AC11" s="6"/>
      <c r="AD11" s="6" t="str">
        <f>helper!G12</f>
        <v>C3</v>
      </c>
      <c r="AE11" s="6">
        <f t="shared" si="0"/>
        <v>3</v>
      </c>
      <c r="AF11" s="6">
        <f t="shared" si="1"/>
        <v>2</v>
      </c>
      <c r="AG11" s="6">
        <f t="shared" si="2"/>
        <v>0</v>
      </c>
      <c r="AH11" s="6">
        <f t="shared" si="3"/>
        <v>1</v>
      </c>
      <c r="AI11" s="6">
        <f t="shared" si="4"/>
        <v>4</v>
      </c>
      <c r="AJ11" s="6">
        <f t="shared" si="5"/>
        <v>3</v>
      </c>
      <c r="AK11" s="85">
        <f t="shared" si="21"/>
        <v>1</v>
      </c>
      <c r="AL11" s="6">
        <f>SUMPRODUCT(AF11:AH11,{3,1,0})</f>
        <v>6</v>
      </c>
      <c r="AM11" s="85">
        <f>(AL11+'tie breaker'!F13/10)*1000000+(50+AK11)*1000+(AI11)*10+5-RIGHT(AD11,1)</f>
        <v>6051042</v>
      </c>
      <c r="AN11" s="85">
        <f t="shared" ca="1" si="6"/>
        <v>2</v>
      </c>
      <c r="AO11" s="85">
        <f t="shared" ca="1" si="7"/>
        <v>2</v>
      </c>
      <c r="AP11" s="85" t="str">
        <f t="shared" ca="1" si="22"/>
        <v>C2</v>
      </c>
      <c r="AQ11" s="85"/>
      <c r="AS11" s="21" t="str">
        <f t="shared" ref="AS11:AS15" ca="1" si="31">AP27</f>
        <v>D4</v>
      </c>
      <c r="AT11" s="109" t="str">
        <f ca="1">VLOOKUP(AS11,helper!$G$2:$I$25,2)&amp;IF(SUM($AU$10:$AU$15)=18,"",helper!$U$2)</f>
        <v>Tschechien</v>
      </c>
      <c r="AU11" s="110">
        <f t="shared" ca="1" si="23"/>
        <v>3</v>
      </c>
      <c r="AV11" s="110">
        <f t="shared" ca="1" si="24"/>
        <v>1</v>
      </c>
      <c r="AW11" s="110">
        <f t="shared" ca="1" si="25"/>
        <v>1</v>
      </c>
      <c r="AX11" s="110">
        <f t="shared" ca="1" si="26"/>
        <v>1</v>
      </c>
      <c r="AY11" s="111"/>
      <c r="AZ11" s="110">
        <f t="shared" ca="1" si="27"/>
        <v>3</v>
      </c>
      <c r="BA11" s="110" t="s">
        <v>8</v>
      </c>
      <c r="BB11" s="110">
        <f t="shared" ca="1" si="28"/>
        <v>2</v>
      </c>
      <c r="BC11" s="111"/>
      <c r="BD11" s="112">
        <f t="shared" ca="1" si="29"/>
        <v>1</v>
      </c>
      <c r="BE11" s="114"/>
      <c r="BF11" s="113">
        <f t="shared" ca="1" si="30"/>
        <v>4</v>
      </c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W11" s="157" t="s">
        <v>205</v>
      </c>
      <c r="BX11" s="157" t="str">
        <f ca="1">AT34</f>
        <v>Spanien</v>
      </c>
    </row>
    <row r="12" spans="1:76" ht="18.75" customHeight="1" x14ac:dyDescent="0.25">
      <c r="A12" s="133">
        <v>12</v>
      </c>
      <c r="B12" s="134">
        <v>1</v>
      </c>
      <c r="C12" s="134" t="str">
        <f t="shared" si="8"/>
        <v>F</v>
      </c>
      <c r="D12" s="135">
        <v>44362.875</v>
      </c>
      <c r="E12" s="3" t="s">
        <v>163</v>
      </c>
      <c r="F12" s="1" t="str">
        <f>VLOOKUP(E12,helper!$D$2:$E$12,2)</f>
        <v>Allianz Arena</v>
      </c>
      <c r="G12" s="131" t="s">
        <v>49</v>
      </c>
      <c r="H12" s="132" t="str">
        <f>VLOOKUP(G12,helper!$K$2:$L$25,2)</f>
        <v>Frankreich</v>
      </c>
      <c r="I12" s="156">
        <v>1</v>
      </c>
      <c r="J12" s="154" t="s">
        <v>8</v>
      </c>
      <c r="K12" s="156">
        <v>0</v>
      </c>
      <c r="L12" s="155" t="str">
        <f>VLOOKUP(M12,helper!$K$2:$L$25,2)</f>
        <v>Deutschland</v>
      </c>
      <c r="M12" s="155" t="s">
        <v>55</v>
      </c>
      <c r="N12" s="84"/>
      <c r="O12" s="6" t="str">
        <f>VLOOKUP(G12,helper!$K$2:$M$25,3)</f>
        <v>F3</v>
      </c>
      <c r="P12" s="6">
        <f t="shared" si="9"/>
        <v>1</v>
      </c>
      <c r="Q12" s="6">
        <f t="shared" si="10"/>
        <v>1</v>
      </c>
      <c r="R12" s="6">
        <f t="shared" si="11"/>
        <v>0</v>
      </c>
      <c r="S12" s="6">
        <f t="shared" si="12"/>
        <v>0</v>
      </c>
      <c r="T12" s="6">
        <f t="shared" si="13"/>
        <v>1</v>
      </c>
      <c r="U12" s="6">
        <f t="shared" si="14"/>
        <v>0</v>
      </c>
      <c r="V12" s="7" t="str">
        <f>VLOOKUP(M12,helper!$K$2:$M$25,3)</f>
        <v>F4</v>
      </c>
      <c r="W12" s="6">
        <f t="shared" si="15"/>
        <v>1</v>
      </c>
      <c r="X12" s="6">
        <f t="shared" si="16"/>
        <v>0</v>
      </c>
      <c r="Y12" s="6">
        <f t="shared" si="17"/>
        <v>0</v>
      </c>
      <c r="Z12" s="6">
        <f t="shared" si="18"/>
        <v>1</v>
      </c>
      <c r="AA12" s="6">
        <f t="shared" si="19"/>
        <v>0</v>
      </c>
      <c r="AB12" s="6">
        <f t="shared" si="20"/>
        <v>1</v>
      </c>
      <c r="AC12" s="6"/>
      <c r="AD12" s="6" t="str">
        <f>helper!G13</f>
        <v>C4</v>
      </c>
      <c r="AE12" s="6">
        <f t="shared" si="0"/>
        <v>3</v>
      </c>
      <c r="AF12" s="6">
        <f t="shared" si="1"/>
        <v>0</v>
      </c>
      <c r="AG12" s="6">
        <f t="shared" si="2"/>
        <v>0</v>
      </c>
      <c r="AH12" s="6">
        <f t="shared" si="3"/>
        <v>3</v>
      </c>
      <c r="AI12" s="6">
        <f t="shared" si="4"/>
        <v>2</v>
      </c>
      <c r="AJ12" s="6">
        <f t="shared" si="5"/>
        <v>8</v>
      </c>
      <c r="AK12" s="85">
        <f t="shared" si="21"/>
        <v>-6</v>
      </c>
      <c r="AL12" s="6">
        <f>SUMPRODUCT(AF12:AH12,{3,1,0})</f>
        <v>0</v>
      </c>
      <c r="AM12" s="85">
        <f>(AL12+'tie breaker'!F14/10)*1000000+(50+AK12)*1000+(AI12)*10+5-RIGHT(AD12,1)</f>
        <v>44021</v>
      </c>
      <c r="AN12" s="85">
        <f t="shared" ca="1" si="6"/>
        <v>4</v>
      </c>
      <c r="AO12" s="85">
        <f t="shared" ca="1" si="7"/>
        <v>4</v>
      </c>
      <c r="AP12" s="85" t="str">
        <f t="shared" ca="1" si="22"/>
        <v>C4</v>
      </c>
      <c r="AQ12" s="85"/>
      <c r="AS12" s="22" t="str">
        <f t="shared" ca="1" si="31"/>
        <v>A4</v>
      </c>
      <c r="AT12" s="109" t="str">
        <f ca="1">VLOOKUP(AS12,helper!$G$2:$I$25,2)&amp;IF(SUM($AU$10:$AU$15)=18,"",helper!$U$2)</f>
        <v>Schweiz</v>
      </c>
      <c r="AU12" s="110">
        <f t="shared" ca="1" si="23"/>
        <v>3</v>
      </c>
      <c r="AV12" s="110">
        <f t="shared" ca="1" si="24"/>
        <v>1</v>
      </c>
      <c r="AW12" s="110">
        <f t="shared" ca="1" si="25"/>
        <v>1</v>
      </c>
      <c r="AX12" s="110">
        <f t="shared" ca="1" si="26"/>
        <v>1</v>
      </c>
      <c r="AY12" s="111"/>
      <c r="AZ12" s="110">
        <f t="shared" ca="1" si="27"/>
        <v>4</v>
      </c>
      <c r="BA12" s="110" t="s">
        <v>8</v>
      </c>
      <c r="BB12" s="110">
        <f t="shared" ca="1" si="28"/>
        <v>5</v>
      </c>
      <c r="BC12" s="111"/>
      <c r="BD12" s="112">
        <f t="shared" ca="1" si="29"/>
        <v>-1</v>
      </c>
      <c r="BE12" s="114"/>
      <c r="BF12" s="113">
        <f t="shared" ca="1" si="30"/>
        <v>4</v>
      </c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W12" s="157" t="s">
        <v>207</v>
      </c>
      <c r="BX12" s="157" t="str">
        <f ca="1">BI34</f>
        <v>Deutschland</v>
      </c>
    </row>
    <row r="13" spans="1:76" ht="18.75" customHeight="1" x14ac:dyDescent="0.25">
      <c r="A13" s="133">
        <v>13</v>
      </c>
      <c r="B13" s="134">
        <v>2</v>
      </c>
      <c r="C13" s="134" t="str">
        <f t="shared" si="8"/>
        <v>B</v>
      </c>
      <c r="D13" s="135">
        <v>44363.625</v>
      </c>
      <c r="E13" s="3" t="s">
        <v>193</v>
      </c>
      <c r="F13" s="1" t="str">
        <f>VLOOKUP(E13,helper!$D$2:$E$12,2)</f>
        <v>Krestowski-Stadion</v>
      </c>
      <c r="G13" s="131" t="s">
        <v>179</v>
      </c>
      <c r="H13" s="132" t="str">
        <f>VLOOKUP(G13,helper!$K$2:$L$25,2)</f>
        <v>Finnland</v>
      </c>
      <c r="I13" s="156">
        <v>0</v>
      </c>
      <c r="J13" s="154" t="s">
        <v>8</v>
      </c>
      <c r="K13" s="156">
        <v>1</v>
      </c>
      <c r="L13" s="155" t="str">
        <f>VLOOKUP(M13,helper!$K$2:$L$25,2)</f>
        <v>Russland</v>
      </c>
      <c r="M13" s="155" t="s">
        <v>52</v>
      </c>
      <c r="N13" s="84"/>
      <c r="O13" s="6" t="str">
        <f>VLOOKUP(G13,helper!$K$2:$M$25,3)</f>
        <v>B2</v>
      </c>
      <c r="P13" s="6">
        <f t="shared" si="9"/>
        <v>1</v>
      </c>
      <c r="Q13" s="6">
        <f t="shared" si="10"/>
        <v>0</v>
      </c>
      <c r="R13" s="6">
        <f t="shared" si="11"/>
        <v>0</v>
      </c>
      <c r="S13" s="6">
        <f t="shared" si="12"/>
        <v>1</v>
      </c>
      <c r="T13" s="6">
        <f t="shared" si="13"/>
        <v>0</v>
      </c>
      <c r="U13" s="6">
        <f t="shared" si="14"/>
        <v>1</v>
      </c>
      <c r="V13" s="7" t="str">
        <f>VLOOKUP(M13,helper!$K$2:$M$25,3)</f>
        <v>B4</v>
      </c>
      <c r="W13" s="6">
        <f t="shared" si="15"/>
        <v>1</v>
      </c>
      <c r="X13" s="6">
        <f t="shared" si="16"/>
        <v>1</v>
      </c>
      <c r="Y13" s="6">
        <f t="shared" si="17"/>
        <v>0</v>
      </c>
      <c r="Z13" s="6">
        <f t="shared" si="18"/>
        <v>0</v>
      </c>
      <c r="AA13" s="6">
        <f t="shared" si="19"/>
        <v>1</v>
      </c>
      <c r="AB13" s="6">
        <f t="shared" si="20"/>
        <v>0</v>
      </c>
      <c r="AC13" s="6"/>
      <c r="AD13" s="6" t="str">
        <f>helper!G14</f>
        <v>D1</v>
      </c>
      <c r="AE13" s="6">
        <f t="shared" si="0"/>
        <v>3</v>
      </c>
      <c r="AF13" s="6">
        <f t="shared" si="1"/>
        <v>2</v>
      </c>
      <c r="AG13" s="6">
        <f t="shared" si="2"/>
        <v>1</v>
      </c>
      <c r="AH13" s="6">
        <f t="shared" si="3"/>
        <v>0</v>
      </c>
      <c r="AI13" s="6">
        <f t="shared" si="4"/>
        <v>2</v>
      </c>
      <c r="AJ13" s="6">
        <f t="shared" si="5"/>
        <v>0</v>
      </c>
      <c r="AK13" s="85">
        <f t="shared" si="21"/>
        <v>2</v>
      </c>
      <c r="AL13" s="6">
        <f>SUMPRODUCT(AF13:AH13,{3,1,0})</f>
        <v>7</v>
      </c>
      <c r="AM13" s="85">
        <f>(AL13+'tie breaker'!F15/10)*1000000+(50+AK13)*1000+(AI13)*10+5-RIGHT(AD13,1)</f>
        <v>7052024</v>
      </c>
      <c r="AN13" s="85">
        <f t="shared" ca="1" si="6"/>
        <v>1</v>
      </c>
      <c r="AO13" s="85">
        <f t="shared" ca="1" si="7"/>
        <v>1</v>
      </c>
      <c r="AP13" s="85" t="str">
        <f t="shared" ca="1" si="22"/>
        <v>D1</v>
      </c>
      <c r="AQ13" s="85" t="str">
        <f ca="1">AP13</f>
        <v>D1</v>
      </c>
      <c r="AS13" s="21" t="str">
        <f t="shared" ca="1" si="31"/>
        <v>C2</v>
      </c>
      <c r="AT13" s="109" t="str">
        <f ca="1">VLOOKUP(AS13,helper!$G$2:$I$25,2)&amp;IF(SUM($AU$10:$AU$15)=18,"",helper!$U$2)</f>
        <v>Ukraine</v>
      </c>
      <c r="AU13" s="110">
        <f t="shared" ca="1" si="23"/>
        <v>3</v>
      </c>
      <c r="AV13" s="110">
        <f t="shared" ca="1" si="24"/>
        <v>1</v>
      </c>
      <c r="AW13" s="110">
        <f t="shared" ca="1" si="25"/>
        <v>0</v>
      </c>
      <c r="AX13" s="110">
        <f t="shared" ca="1" si="26"/>
        <v>2</v>
      </c>
      <c r="AY13" s="111"/>
      <c r="AZ13" s="110">
        <f t="shared" ca="1" si="27"/>
        <v>4</v>
      </c>
      <c r="BA13" s="110" t="s">
        <v>8</v>
      </c>
      <c r="BB13" s="110">
        <f t="shared" ca="1" si="28"/>
        <v>5</v>
      </c>
      <c r="BC13" s="111"/>
      <c r="BD13" s="112">
        <f t="shared" ca="1" si="29"/>
        <v>-1</v>
      </c>
      <c r="BE13" s="114"/>
      <c r="BF13" s="113">
        <f t="shared" ca="1" si="30"/>
        <v>3</v>
      </c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W13" s="157" t="s">
        <v>208</v>
      </c>
      <c r="BX13" s="157" t="str">
        <f ca="1">BX24</f>
        <v>Portugal</v>
      </c>
    </row>
    <row r="14" spans="1:76" ht="18.75" customHeight="1" x14ac:dyDescent="0.25">
      <c r="A14" s="133">
        <v>14</v>
      </c>
      <c r="B14" s="134">
        <v>2</v>
      </c>
      <c r="C14" s="134" t="str">
        <f t="shared" si="8"/>
        <v>A</v>
      </c>
      <c r="D14" s="135">
        <v>44363.75</v>
      </c>
      <c r="E14" s="3" t="s">
        <v>162</v>
      </c>
      <c r="F14" s="1" t="str">
        <f>VLOOKUP(E14,helper!$D$2:$E$12,2)</f>
        <v>Bakı Milli Stadionu</v>
      </c>
      <c r="G14" s="131" t="s">
        <v>60</v>
      </c>
      <c r="H14" s="132" t="str">
        <f>VLOOKUP(G14,helper!$K$2:$L$25,2)</f>
        <v>Türkei</v>
      </c>
      <c r="I14" s="156">
        <v>0</v>
      </c>
      <c r="J14" s="154" t="s">
        <v>8</v>
      </c>
      <c r="K14" s="156">
        <v>2</v>
      </c>
      <c r="L14" s="155" t="str">
        <f>VLOOKUP(M14,helper!$K$2:$L$25,2)</f>
        <v>Wales</v>
      </c>
      <c r="M14" s="155" t="s">
        <v>53</v>
      </c>
      <c r="N14" s="84"/>
      <c r="O14" s="6" t="str">
        <f>VLOOKUP(G14,helper!$K$2:$M$25,3)</f>
        <v>A1</v>
      </c>
      <c r="P14" s="6">
        <f t="shared" si="9"/>
        <v>1</v>
      </c>
      <c r="Q14" s="6">
        <f t="shared" si="10"/>
        <v>0</v>
      </c>
      <c r="R14" s="6">
        <f t="shared" si="11"/>
        <v>0</v>
      </c>
      <c r="S14" s="6">
        <f t="shared" si="12"/>
        <v>1</v>
      </c>
      <c r="T14" s="6">
        <f t="shared" si="13"/>
        <v>0</v>
      </c>
      <c r="U14" s="6">
        <f t="shared" si="14"/>
        <v>2</v>
      </c>
      <c r="V14" s="7" t="str">
        <f>VLOOKUP(M14,helper!$K$2:$M$25,3)</f>
        <v>A3</v>
      </c>
      <c r="W14" s="6">
        <f t="shared" si="15"/>
        <v>1</v>
      </c>
      <c r="X14" s="6">
        <f t="shared" si="16"/>
        <v>1</v>
      </c>
      <c r="Y14" s="6">
        <f t="shared" si="17"/>
        <v>0</v>
      </c>
      <c r="Z14" s="6">
        <f t="shared" si="18"/>
        <v>0</v>
      </c>
      <c r="AA14" s="6">
        <f t="shared" si="19"/>
        <v>2</v>
      </c>
      <c r="AB14" s="6">
        <f t="shared" si="20"/>
        <v>0</v>
      </c>
      <c r="AC14" s="6"/>
      <c r="AD14" s="6" t="str">
        <f>helper!G15</f>
        <v>D2</v>
      </c>
      <c r="AE14" s="6">
        <f t="shared" si="0"/>
        <v>3</v>
      </c>
      <c r="AF14" s="6">
        <f t="shared" si="1"/>
        <v>1</v>
      </c>
      <c r="AG14" s="6">
        <f t="shared" si="2"/>
        <v>1</v>
      </c>
      <c r="AH14" s="6">
        <f t="shared" si="3"/>
        <v>1</v>
      </c>
      <c r="AI14" s="6">
        <f t="shared" si="4"/>
        <v>4</v>
      </c>
      <c r="AJ14" s="6">
        <f t="shared" si="5"/>
        <v>3</v>
      </c>
      <c r="AK14" s="85">
        <f t="shared" si="21"/>
        <v>1</v>
      </c>
      <c r="AL14" s="6">
        <f>SUMPRODUCT(AF14:AH14,{3,1,0})</f>
        <v>4</v>
      </c>
      <c r="AM14" s="85">
        <f>(AL14+'tie breaker'!F16/10)*1000000+(50+AK14)*1000+(AI14)*10+5-RIGHT(AD14,1)</f>
        <v>4051043</v>
      </c>
      <c r="AN14" s="85">
        <f t="shared" ca="1" si="6"/>
        <v>2</v>
      </c>
      <c r="AO14" s="85">
        <f t="shared" ca="1" si="7"/>
        <v>2</v>
      </c>
      <c r="AP14" s="85" t="str">
        <f t="shared" ca="1" si="22"/>
        <v>D2</v>
      </c>
      <c r="AQ14" s="85" t="str">
        <f ca="1">AP14</f>
        <v>D2</v>
      </c>
      <c r="AS14" s="22" t="str">
        <f t="shared" ca="1" si="31"/>
        <v>B2</v>
      </c>
      <c r="AT14" s="115" t="str">
        <f ca="1">VLOOKUP(AS14,helper!$G$2:$I$25,2)&amp;IF(SUM($AU$10:$AU$15)=18,"",helper!$U$2)</f>
        <v>Finnland</v>
      </c>
      <c r="AU14" s="116">
        <f t="shared" ca="1" si="23"/>
        <v>3</v>
      </c>
      <c r="AV14" s="116">
        <f t="shared" ca="1" si="24"/>
        <v>1</v>
      </c>
      <c r="AW14" s="116">
        <f t="shared" ca="1" si="25"/>
        <v>0</v>
      </c>
      <c r="AX14" s="116">
        <f t="shared" ca="1" si="26"/>
        <v>2</v>
      </c>
      <c r="AY14" s="117"/>
      <c r="AZ14" s="116">
        <f t="shared" ca="1" si="27"/>
        <v>1</v>
      </c>
      <c r="BA14" s="116" t="s">
        <v>8</v>
      </c>
      <c r="BB14" s="116">
        <f t="shared" ca="1" si="28"/>
        <v>3</v>
      </c>
      <c r="BC14" s="117"/>
      <c r="BD14" s="118">
        <f t="shared" ca="1" si="29"/>
        <v>-2</v>
      </c>
      <c r="BE14" s="119"/>
      <c r="BF14" s="125">
        <f t="shared" ca="1" si="30"/>
        <v>3</v>
      </c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W14" s="157" t="s">
        <v>209</v>
      </c>
      <c r="BX14" s="157" t="str">
        <f t="shared" ref="BX14:BX16" ca="1" si="32">BX25</f>
        <v>Tschechien</v>
      </c>
    </row>
    <row r="15" spans="1:76" ht="18.75" customHeight="1" thickBot="1" x14ac:dyDescent="0.3">
      <c r="A15" s="133">
        <v>15</v>
      </c>
      <c r="B15" s="134">
        <v>2</v>
      </c>
      <c r="C15" s="134" t="str">
        <f t="shared" si="8"/>
        <v>A</v>
      </c>
      <c r="D15" s="135">
        <v>44363.875</v>
      </c>
      <c r="E15" s="3" t="s">
        <v>164</v>
      </c>
      <c r="F15" s="1" t="str">
        <f>VLOOKUP(E15,helper!$D$2:$E$12,2)</f>
        <v>Stadio Olimpico</v>
      </c>
      <c r="G15" s="131" t="s">
        <v>63</v>
      </c>
      <c r="H15" s="132" t="str">
        <f>VLOOKUP(G15,helper!$K$2:$L$25,2)</f>
        <v>Italien</v>
      </c>
      <c r="I15" s="156">
        <v>3</v>
      </c>
      <c r="J15" s="154" t="s">
        <v>8</v>
      </c>
      <c r="K15" s="156">
        <v>0</v>
      </c>
      <c r="L15" s="155" t="str">
        <f>VLOOKUP(M15,helper!$K$2:$L$25,2)</f>
        <v>Schweiz</v>
      </c>
      <c r="M15" s="155" t="s">
        <v>50</v>
      </c>
      <c r="N15" s="84"/>
      <c r="O15" s="6" t="str">
        <f>VLOOKUP(G15,helper!$K$2:$M$25,3)</f>
        <v>A2</v>
      </c>
      <c r="P15" s="6">
        <f t="shared" si="9"/>
        <v>1</v>
      </c>
      <c r="Q15" s="6">
        <f t="shared" si="10"/>
        <v>1</v>
      </c>
      <c r="R15" s="6">
        <f t="shared" si="11"/>
        <v>0</v>
      </c>
      <c r="S15" s="6">
        <f t="shared" si="12"/>
        <v>0</v>
      </c>
      <c r="T15" s="6">
        <f t="shared" si="13"/>
        <v>3</v>
      </c>
      <c r="U15" s="6">
        <f t="shared" si="14"/>
        <v>0</v>
      </c>
      <c r="V15" s="7" t="str">
        <f>VLOOKUP(M15,helper!$K$2:$M$25,3)</f>
        <v>A4</v>
      </c>
      <c r="W15" s="6">
        <f t="shared" si="15"/>
        <v>1</v>
      </c>
      <c r="X15" s="6">
        <f t="shared" si="16"/>
        <v>0</v>
      </c>
      <c r="Y15" s="6">
        <f t="shared" si="17"/>
        <v>0</v>
      </c>
      <c r="Z15" s="6">
        <f t="shared" si="18"/>
        <v>1</v>
      </c>
      <c r="AA15" s="6">
        <f t="shared" si="19"/>
        <v>0</v>
      </c>
      <c r="AB15" s="6">
        <f t="shared" si="20"/>
        <v>3</v>
      </c>
      <c r="AC15" s="6"/>
      <c r="AD15" s="6" t="str">
        <f>helper!G16</f>
        <v>D3</v>
      </c>
      <c r="AE15" s="6">
        <f t="shared" si="0"/>
        <v>3</v>
      </c>
      <c r="AF15" s="6">
        <f t="shared" si="1"/>
        <v>0</v>
      </c>
      <c r="AG15" s="6">
        <f t="shared" si="2"/>
        <v>1</v>
      </c>
      <c r="AH15" s="6">
        <f t="shared" si="3"/>
        <v>2</v>
      </c>
      <c r="AI15" s="6">
        <f t="shared" si="4"/>
        <v>1</v>
      </c>
      <c r="AJ15" s="6">
        <f t="shared" si="5"/>
        <v>5</v>
      </c>
      <c r="AK15" s="85">
        <f t="shared" si="21"/>
        <v>-4</v>
      </c>
      <c r="AL15" s="6">
        <f>SUMPRODUCT(AF15:AH15,{3,1,0})</f>
        <v>1</v>
      </c>
      <c r="AM15" s="85">
        <f>(AL15+'tie breaker'!F17/10)*1000000+(50+AK15)*1000+(AI15)*10+5-RIGHT(AD15,1)</f>
        <v>1046012</v>
      </c>
      <c r="AN15" s="85">
        <f t="shared" ca="1" si="6"/>
        <v>4</v>
      </c>
      <c r="AO15" s="85">
        <f t="shared" ca="1" si="7"/>
        <v>4</v>
      </c>
      <c r="AP15" s="85" t="str">
        <f t="shared" ca="1" si="22"/>
        <v>D4</v>
      </c>
      <c r="AQ15" s="85"/>
      <c r="AS15" s="23" t="str">
        <f t="shared" ca="1" si="31"/>
        <v>E4</v>
      </c>
      <c r="AT15" s="120" t="str">
        <f ca="1">VLOOKUP(AS15,helper!$G$2:$I$25,2)&amp;IF(SUM($AU$10:$AU$15)=18,"",helper!$U$2)</f>
        <v>Slowakei</v>
      </c>
      <c r="AU15" s="121">
        <f t="shared" ca="1" si="23"/>
        <v>3</v>
      </c>
      <c r="AV15" s="121">
        <f t="shared" ca="1" si="24"/>
        <v>1</v>
      </c>
      <c r="AW15" s="121">
        <f t="shared" ca="1" si="25"/>
        <v>0</v>
      </c>
      <c r="AX15" s="121">
        <f t="shared" ca="1" si="26"/>
        <v>2</v>
      </c>
      <c r="AY15" s="122"/>
      <c r="AZ15" s="121">
        <f t="shared" ca="1" si="27"/>
        <v>2</v>
      </c>
      <c r="BA15" s="121" t="s">
        <v>8</v>
      </c>
      <c r="BB15" s="121">
        <f t="shared" ca="1" si="28"/>
        <v>7</v>
      </c>
      <c r="BC15" s="122"/>
      <c r="BD15" s="123">
        <f t="shared" ca="1" si="29"/>
        <v>-5</v>
      </c>
      <c r="BE15" s="124"/>
      <c r="BF15" s="126">
        <f t="shared" ca="1" si="30"/>
        <v>3</v>
      </c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W15" s="157" t="s">
        <v>210</v>
      </c>
      <c r="BX15" s="157" t="str">
        <f t="shared" ca="1" si="32"/>
        <v>Ukraine</v>
      </c>
    </row>
    <row r="16" spans="1:76" ht="19.5" thickBot="1" x14ac:dyDescent="0.3">
      <c r="A16" s="133">
        <v>16</v>
      </c>
      <c r="B16" s="134">
        <v>2</v>
      </c>
      <c r="C16" s="134" t="str">
        <f t="shared" si="8"/>
        <v>C</v>
      </c>
      <c r="D16" s="135">
        <v>44364.625</v>
      </c>
      <c r="E16" s="3" t="s">
        <v>170</v>
      </c>
      <c r="F16" s="1" t="str">
        <f>VLOOKUP(E16,helper!$D$2:$E$12,2)</f>
        <v>Arena Națională</v>
      </c>
      <c r="G16" s="131" t="s">
        <v>56</v>
      </c>
      <c r="H16" s="132" t="str">
        <f>VLOOKUP(G16,helper!$K$2:$L$25,2)</f>
        <v>Ukraine</v>
      </c>
      <c r="I16" s="156">
        <v>2</v>
      </c>
      <c r="J16" s="154" t="s">
        <v>8</v>
      </c>
      <c r="K16" s="156">
        <v>1</v>
      </c>
      <c r="L16" s="155" t="str">
        <f>VLOOKUP(M16,helper!$K$2:$L$25,2)</f>
        <v>Nordmazedonien</v>
      </c>
      <c r="M16" s="155" t="s">
        <v>181</v>
      </c>
      <c r="N16" s="84"/>
      <c r="O16" s="6" t="str">
        <f>VLOOKUP(G16,helper!$K$2:$M$25,3)</f>
        <v>C2</v>
      </c>
      <c r="P16" s="6">
        <f t="shared" si="9"/>
        <v>1</v>
      </c>
      <c r="Q16" s="6">
        <f t="shared" si="10"/>
        <v>1</v>
      </c>
      <c r="R16" s="6">
        <f t="shared" si="11"/>
        <v>0</v>
      </c>
      <c r="S16" s="6">
        <f t="shared" si="12"/>
        <v>0</v>
      </c>
      <c r="T16" s="6">
        <f t="shared" si="13"/>
        <v>2</v>
      </c>
      <c r="U16" s="6">
        <f t="shared" si="14"/>
        <v>1</v>
      </c>
      <c r="V16" s="7" t="str">
        <f>VLOOKUP(M16,helper!$K$2:$M$25,3)</f>
        <v>C4</v>
      </c>
      <c r="W16" s="6">
        <f t="shared" si="15"/>
        <v>1</v>
      </c>
      <c r="X16" s="6">
        <f t="shared" si="16"/>
        <v>0</v>
      </c>
      <c r="Y16" s="6">
        <f t="shared" si="17"/>
        <v>0</v>
      </c>
      <c r="Z16" s="6">
        <f t="shared" si="18"/>
        <v>1</v>
      </c>
      <c r="AA16" s="6">
        <f t="shared" si="19"/>
        <v>1</v>
      </c>
      <c r="AB16" s="6">
        <f t="shared" si="20"/>
        <v>2</v>
      </c>
      <c r="AC16" s="6"/>
      <c r="AD16" s="6" t="str">
        <f>helper!G17</f>
        <v>D4</v>
      </c>
      <c r="AE16" s="6">
        <f t="shared" si="0"/>
        <v>3</v>
      </c>
      <c r="AF16" s="6">
        <f t="shared" si="1"/>
        <v>1</v>
      </c>
      <c r="AG16" s="6">
        <f t="shared" si="2"/>
        <v>1</v>
      </c>
      <c r="AH16" s="6">
        <f t="shared" si="3"/>
        <v>1</v>
      </c>
      <c r="AI16" s="6">
        <f t="shared" si="4"/>
        <v>3</v>
      </c>
      <c r="AJ16" s="6">
        <f t="shared" si="5"/>
        <v>2</v>
      </c>
      <c r="AK16" s="85">
        <f t="shared" si="21"/>
        <v>1</v>
      </c>
      <c r="AL16" s="6">
        <f>SUMPRODUCT(AF16:AH16,{3,1,0})</f>
        <v>4</v>
      </c>
      <c r="AM16" s="85">
        <f>(AL16+'tie breaker'!F18/10)*1000000+(50+AK16)*1000+(AI16)*10+5-RIGHT(AD16,1)</f>
        <v>4051031</v>
      </c>
      <c r="AN16" s="85">
        <f t="shared" ca="1" si="6"/>
        <v>3</v>
      </c>
      <c r="AO16" s="85">
        <f t="shared" ca="1" si="7"/>
        <v>3</v>
      </c>
      <c r="AP16" s="85" t="str">
        <f t="shared" ca="1" si="22"/>
        <v>D3</v>
      </c>
      <c r="AQ16" s="85"/>
      <c r="BW16" s="157" t="s">
        <v>211</v>
      </c>
      <c r="BX16" s="157" t="str">
        <f t="shared" ca="1" si="32"/>
        <v>Schweiz</v>
      </c>
    </row>
    <row r="17" spans="1:81" ht="18.75" x14ac:dyDescent="0.25">
      <c r="A17" s="133">
        <v>17</v>
      </c>
      <c r="B17" s="134">
        <v>2</v>
      </c>
      <c r="C17" s="134" t="str">
        <f t="shared" si="8"/>
        <v>B</v>
      </c>
      <c r="D17" s="135">
        <v>44364.75</v>
      </c>
      <c r="E17" s="3" t="s">
        <v>166</v>
      </c>
      <c r="F17" s="1" t="str">
        <f>VLOOKUP(E17,helper!$D$2:$E$12,2)</f>
        <v>Parken</v>
      </c>
      <c r="G17" s="131" t="s">
        <v>178</v>
      </c>
      <c r="H17" s="132" t="str">
        <f>VLOOKUP(G17,helper!$K$2:$L$25,2)</f>
        <v>Dänemark</v>
      </c>
      <c r="I17" s="156">
        <v>1</v>
      </c>
      <c r="J17" s="154" t="s">
        <v>8</v>
      </c>
      <c r="K17" s="156">
        <v>2</v>
      </c>
      <c r="L17" s="155" t="str">
        <f>VLOOKUP(M17,helper!$K$2:$L$25,2)</f>
        <v>Belgien</v>
      </c>
      <c r="M17" s="155" t="s">
        <v>62</v>
      </c>
      <c r="N17" s="84"/>
      <c r="O17" s="6" t="str">
        <f>VLOOKUP(G17,helper!$K$2:$M$25,3)</f>
        <v>B1</v>
      </c>
      <c r="P17" s="6">
        <f t="shared" si="9"/>
        <v>1</v>
      </c>
      <c r="Q17" s="6">
        <f t="shared" si="10"/>
        <v>0</v>
      </c>
      <c r="R17" s="6">
        <f t="shared" si="11"/>
        <v>0</v>
      </c>
      <c r="S17" s="6">
        <f t="shared" si="12"/>
        <v>1</v>
      </c>
      <c r="T17" s="6">
        <f t="shared" si="13"/>
        <v>1</v>
      </c>
      <c r="U17" s="6">
        <f t="shared" si="14"/>
        <v>2</v>
      </c>
      <c r="V17" s="7" t="str">
        <f>VLOOKUP(M17,helper!$K$2:$M$25,3)</f>
        <v>B3</v>
      </c>
      <c r="W17" s="6">
        <f t="shared" si="15"/>
        <v>1</v>
      </c>
      <c r="X17" s="6">
        <f t="shared" si="16"/>
        <v>1</v>
      </c>
      <c r="Y17" s="6">
        <f t="shared" si="17"/>
        <v>0</v>
      </c>
      <c r="Z17" s="6">
        <f t="shared" si="18"/>
        <v>0</v>
      </c>
      <c r="AA17" s="6">
        <f t="shared" si="19"/>
        <v>2</v>
      </c>
      <c r="AB17" s="6">
        <f t="shared" si="20"/>
        <v>1</v>
      </c>
      <c r="AC17" s="6"/>
      <c r="AD17" s="6" t="str">
        <f>helper!G18</f>
        <v>E1</v>
      </c>
      <c r="AE17" s="6">
        <f t="shared" si="0"/>
        <v>3</v>
      </c>
      <c r="AF17" s="6">
        <f t="shared" si="1"/>
        <v>1</v>
      </c>
      <c r="AG17" s="6">
        <f t="shared" si="2"/>
        <v>2</v>
      </c>
      <c r="AH17" s="6">
        <f t="shared" si="3"/>
        <v>0</v>
      </c>
      <c r="AI17" s="6">
        <f t="shared" si="4"/>
        <v>6</v>
      </c>
      <c r="AJ17" s="6">
        <f t="shared" si="5"/>
        <v>1</v>
      </c>
      <c r="AK17" s="85">
        <f t="shared" si="21"/>
        <v>5</v>
      </c>
      <c r="AL17" s="6">
        <f>SUMPRODUCT(AF17:AH17,{3,1,0})</f>
        <v>5</v>
      </c>
      <c r="AM17" s="85">
        <f>(AL17+'tie breaker'!F19/10)*1000000+(50+AK17)*1000+(AI17)*10+5-RIGHT(AD17,1)</f>
        <v>5055064</v>
      </c>
      <c r="AN17" s="85">
        <f t="shared" ca="1" si="6"/>
        <v>2</v>
      </c>
      <c r="AO17" s="85">
        <f t="shared" ca="1" si="7"/>
        <v>2</v>
      </c>
      <c r="AP17" s="85" t="str">
        <f t="shared" ca="1" si="22"/>
        <v>E2</v>
      </c>
      <c r="AQ17" s="85" t="str">
        <f ca="1">AP17</f>
        <v>E2</v>
      </c>
      <c r="AS17" s="161" t="s">
        <v>68</v>
      </c>
      <c r="AT17" s="162"/>
      <c r="AU17" s="162"/>
      <c r="AV17" s="162"/>
      <c r="AW17" s="162"/>
      <c r="AX17" s="162"/>
      <c r="AY17" s="162"/>
      <c r="AZ17" s="162"/>
      <c r="BA17" s="162"/>
      <c r="BB17" s="162"/>
      <c r="BC17" s="162"/>
      <c r="BD17" s="162"/>
      <c r="BE17" s="162"/>
      <c r="BF17" s="163"/>
      <c r="BH17" s="161" t="s">
        <v>75</v>
      </c>
      <c r="BI17" s="162"/>
      <c r="BJ17" s="162"/>
      <c r="BK17" s="162"/>
      <c r="BL17" s="162"/>
      <c r="BM17" s="162"/>
      <c r="BN17" s="162"/>
      <c r="BO17" s="162"/>
      <c r="BP17" s="162"/>
      <c r="BQ17" s="162"/>
      <c r="BR17" s="162"/>
      <c r="BS17" s="162"/>
      <c r="BT17" s="162"/>
      <c r="BU17" s="163"/>
    </row>
    <row r="18" spans="1:81" ht="18.75" x14ac:dyDescent="0.25">
      <c r="A18" s="133">
        <v>18</v>
      </c>
      <c r="B18" s="134">
        <v>2</v>
      </c>
      <c r="C18" s="134" t="str">
        <f t="shared" si="8"/>
        <v>C</v>
      </c>
      <c r="D18" s="135">
        <v>44364.875</v>
      </c>
      <c r="E18" s="3" t="s">
        <v>168</v>
      </c>
      <c r="F18" s="1" t="str">
        <f>VLOOKUP(E18,helper!$D$2:$E$12,2)</f>
        <v>Johan Cruijff ArenA</v>
      </c>
      <c r="G18" s="131" t="s">
        <v>180</v>
      </c>
      <c r="H18" s="132" t="str">
        <f>VLOOKUP(G18,helper!$K$2:$L$25,2)</f>
        <v>Niederlande</v>
      </c>
      <c r="I18" s="156">
        <v>2</v>
      </c>
      <c r="J18" s="154" t="s">
        <v>8</v>
      </c>
      <c r="K18" s="156">
        <v>0</v>
      </c>
      <c r="L18" s="155" t="str">
        <f>VLOOKUP(M18,helper!$K$2:$L$25,2)</f>
        <v>&gt; Österreich</v>
      </c>
      <c r="M18" s="155" t="s">
        <v>66</v>
      </c>
      <c r="N18" s="84"/>
      <c r="O18" s="6" t="str">
        <f>VLOOKUP(G18,helper!$K$2:$M$25,3)</f>
        <v>C1</v>
      </c>
      <c r="P18" s="6">
        <f t="shared" si="9"/>
        <v>1</v>
      </c>
      <c r="Q18" s="6">
        <f t="shared" si="10"/>
        <v>1</v>
      </c>
      <c r="R18" s="6">
        <f t="shared" si="11"/>
        <v>0</v>
      </c>
      <c r="S18" s="6">
        <f t="shared" si="12"/>
        <v>0</v>
      </c>
      <c r="T18" s="6">
        <f t="shared" si="13"/>
        <v>2</v>
      </c>
      <c r="U18" s="6">
        <f t="shared" si="14"/>
        <v>0</v>
      </c>
      <c r="V18" s="7" t="str">
        <f>VLOOKUP(M18,helper!$K$2:$M$25,3)</f>
        <v>C3</v>
      </c>
      <c r="W18" s="6">
        <f t="shared" si="15"/>
        <v>1</v>
      </c>
      <c r="X18" s="6">
        <f t="shared" si="16"/>
        <v>0</v>
      </c>
      <c r="Y18" s="6">
        <f t="shared" si="17"/>
        <v>0</v>
      </c>
      <c r="Z18" s="6">
        <f t="shared" si="18"/>
        <v>1</v>
      </c>
      <c r="AA18" s="6">
        <f t="shared" si="19"/>
        <v>0</v>
      </c>
      <c r="AB18" s="6">
        <f t="shared" si="20"/>
        <v>2</v>
      </c>
      <c r="AC18" s="6"/>
      <c r="AD18" s="6" t="str">
        <f>helper!G19</f>
        <v>E2</v>
      </c>
      <c r="AE18" s="6">
        <f t="shared" si="0"/>
        <v>3</v>
      </c>
      <c r="AF18" s="6">
        <f t="shared" si="1"/>
        <v>2</v>
      </c>
      <c r="AG18" s="6">
        <f t="shared" si="2"/>
        <v>1</v>
      </c>
      <c r="AH18" s="6">
        <f t="shared" si="3"/>
        <v>0</v>
      </c>
      <c r="AI18" s="6">
        <f t="shared" si="4"/>
        <v>4</v>
      </c>
      <c r="AJ18" s="6">
        <f t="shared" si="5"/>
        <v>2</v>
      </c>
      <c r="AK18" s="85">
        <f t="shared" si="21"/>
        <v>2</v>
      </c>
      <c r="AL18" s="6">
        <f>SUMPRODUCT(AF18:AH18,{3,1,0})</f>
        <v>7</v>
      </c>
      <c r="AM18" s="85">
        <f>(AL18+'tie breaker'!F20/10)*1000000+(50+AK18)*1000+(AI18)*10+5-RIGHT(AD18,1)</f>
        <v>7052043</v>
      </c>
      <c r="AN18" s="85">
        <f t="shared" ca="1" si="6"/>
        <v>1</v>
      </c>
      <c r="AO18" s="85">
        <f t="shared" ca="1" si="7"/>
        <v>1</v>
      </c>
      <c r="AP18" s="85" t="str">
        <f t="shared" ca="1" si="22"/>
        <v>E1</v>
      </c>
      <c r="AQ18" s="85" t="str">
        <f ca="1">AP18</f>
        <v>E1</v>
      </c>
      <c r="AS18" s="25"/>
      <c r="AT18" s="26"/>
      <c r="AU18" s="70" t="s">
        <v>149</v>
      </c>
      <c r="AV18" s="27" t="s">
        <v>69</v>
      </c>
      <c r="AW18" s="27" t="s">
        <v>70</v>
      </c>
      <c r="AX18" s="27" t="s">
        <v>71</v>
      </c>
      <c r="AY18" s="27"/>
      <c r="AZ18" s="27" t="s">
        <v>73</v>
      </c>
      <c r="BA18" s="27"/>
      <c r="BB18" s="79" t="s">
        <v>74</v>
      </c>
      <c r="BC18" s="79"/>
      <c r="BD18" s="80" t="s">
        <v>150</v>
      </c>
      <c r="BE18" s="79"/>
      <c r="BF18" s="81" t="s">
        <v>72</v>
      </c>
      <c r="BH18" s="25"/>
      <c r="BI18" s="28"/>
      <c r="BJ18" s="70" t="s">
        <v>149</v>
      </c>
      <c r="BK18" s="27" t="s">
        <v>69</v>
      </c>
      <c r="BL18" s="27" t="s">
        <v>70</v>
      </c>
      <c r="BM18" s="27" t="s">
        <v>71</v>
      </c>
      <c r="BN18" s="27"/>
      <c r="BO18" s="27" t="s">
        <v>73</v>
      </c>
      <c r="BP18" s="27"/>
      <c r="BQ18" s="27" t="s">
        <v>74</v>
      </c>
      <c r="BR18" s="27"/>
      <c r="BS18" s="80" t="s">
        <v>150</v>
      </c>
      <c r="BT18" s="27"/>
      <c r="BU18" s="71" t="s">
        <v>72</v>
      </c>
      <c r="BW18" s="157" t="str">
        <f ca="1">LEFT(AS10,1)</f>
        <v>F</v>
      </c>
      <c r="BX18" s="157" t="str">
        <f ca="1">AT10</f>
        <v>Portugal</v>
      </c>
      <c r="BY18" s="157">
        <f ca="1">CODE(BW18)</f>
        <v>70</v>
      </c>
      <c r="BZ18" s="157">
        <f ca="1">RANK(BY18,$BY$18:$BY$21,1)*10+ROW()-17</f>
        <v>41</v>
      </c>
      <c r="CA18" s="157">
        <f ca="1">SMALL($BZ$18:$BZ$21,ROW()-17)</f>
        <v>13</v>
      </c>
      <c r="CB18" s="157" t="str">
        <f ca="1">OFFSET(BW$17,MOD($CA18,10),)</f>
        <v>A</v>
      </c>
      <c r="CC18" s="157" t="str">
        <f ca="1">OFFSET(BX$17,MOD($CA18,10),)</f>
        <v>Schweiz</v>
      </c>
    </row>
    <row r="19" spans="1:81" ht="18.75" x14ac:dyDescent="0.25">
      <c r="A19" s="133">
        <v>19</v>
      </c>
      <c r="B19" s="134">
        <v>2</v>
      </c>
      <c r="C19" s="134" t="str">
        <f t="shared" si="8"/>
        <v>E</v>
      </c>
      <c r="D19" s="135">
        <v>44365.666666666664</v>
      </c>
      <c r="E19" s="3" t="s">
        <v>193</v>
      </c>
      <c r="F19" s="1" t="str">
        <f>VLOOKUP(E19,helper!$D$2:$E$12,2)</f>
        <v>Krestowski-Stadion</v>
      </c>
      <c r="G19" s="131" t="s">
        <v>64</v>
      </c>
      <c r="H19" s="132" t="str">
        <f>VLOOKUP(G19,helper!$K$2:$L$25,2)</f>
        <v>Schweden</v>
      </c>
      <c r="I19" s="156">
        <v>1</v>
      </c>
      <c r="J19" s="154" t="s">
        <v>8</v>
      </c>
      <c r="K19" s="156">
        <v>0</v>
      </c>
      <c r="L19" s="155" t="str">
        <f>VLOOKUP(M19,helper!$K$2:$L$25,2)</f>
        <v>Slowakei</v>
      </c>
      <c r="M19" s="155" t="s">
        <v>54</v>
      </c>
      <c r="N19" s="84"/>
      <c r="O19" s="6" t="str">
        <f>VLOOKUP(G19,helper!$K$2:$M$25,3)</f>
        <v>E2</v>
      </c>
      <c r="P19" s="6">
        <f t="shared" si="9"/>
        <v>1</v>
      </c>
      <c r="Q19" s="6">
        <f t="shared" si="10"/>
        <v>1</v>
      </c>
      <c r="R19" s="6">
        <f t="shared" si="11"/>
        <v>0</v>
      </c>
      <c r="S19" s="6">
        <f t="shared" si="12"/>
        <v>0</v>
      </c>
      <c r="T19" s="6">
        <f t="shared" si="13"/>
        <v>1</v>
      </c>
      <c r="U19" s="6">
        <f t="shared" si="14"/>
        <v>0</v>
      </c>
      <c r="V19" s="7" t="str">
        <f>VLOOKUP(M19,helper!$K$2:$M$25,3)</f>
        <v>E4</v>
      </c>
      <c r="W19" s="6">
        <f t="shared" si="15"/>
        <v>1</v>
      </c>
      <c r="X19" s="6">
        <f t="shared" si="16"/>
        <v>0</v>
      </c>
      <c r="Y19" s="6">
        <f t="shared" si="17"/>
        <v>0</v>
      </c>
      <c r="Z19" s="6">
        <f t="shared" si="18"/>
        <v>1</v>
      </c>
      <c r="AA19" s="6">
        <f t="shared" si="19"/>
        <v>0</v>
      </c>
      <c r="AB19" s="6">
        <f t="shared" si="20"/>
        <v>1</v>
      </c>
      <c r="AC19" s="6"/>
      <c r="AD19" s="6" t="str">
        <f>helper!G20</f>
        <v>E3</v>
      </c>
      <c r="AE19" s="6">
        <f t="shared" si="0"/>
        <v>3</v>
      </c>
      <c r="AF19" s="6">
        <f t="shared" si="1"/>
        <v>0</v>
      </c>
      <c r="AG19" s="6">
        <f t="shared" si="2"/>
        <v>1</v>
      </c>
      <c r="AH19" s="6">
        <f t="shared" si="3"/>
        <v>2</v>
      </c>
      <c r="AI19" s="6">
        <f t="shared" si="4"/>
        <v>4</v>
      </c>
      <c r="AJ19" s="6">
        <f t="shared" si="5"/>
        <v>6</v>
      </c>
      <c r="AK19" s="85">
        <f t="shared" si="21"/>
        <v>-2</v>
      </c>
      <c r="AL19" s="6">
        <f>SUMPRODUCT(AF19:AH19,{3,1,0})</f>
        <v>1</v>
      </c>
      <c r="AM19" s="85">
        <f>(AL19+'tie breaker'!F21/10)*1000000+(50+AK19)*1000+(AI19)*10+5-RIGHT(AD19,1)</f>
        <v>1048042</v>
      </c>
      <c r="AN19" s="85">
        <f t="shared" ca="1" si="6"/>
        <v>4</v>
      </c>
      <c r="AO19" s="85">
        <f t="shared" ca="1" si="7"/>
        <v>4</v>
      </c>
      <c r="AP19" s="85" t="str">
        <f t="shared" ca="1" si="22"/>
        <v>E4</v>
      </c>
      <c r="AQ19" s="85"/>
      <c r="AS19" s="21" t="str">
        <f ca="1">AP1</f>
        <v>A2</v>
      </c>
      <c r="AT19" s="24" t="str">
        <f ca="1">VLOOKUP(AS19,helper!$G$2:$I$25,2)&amp;IF(SUM(AU$19:AU$22)=12,"",helper!$U$2)</f>
        <v>Italien</v>
      </c>
      <c r="AU19" s="74">
        <f ca="1">VLOOKUP($AS19,$AD$1:$AL$24,2)</f>
        <v>3</v>
      </c>
      <c r="AV19" s="74">
        <f ca="1">VLOOKUP($AS19,$AD$1:$AL$24,3)</f>
        <v>3</v>
      </c>
      <c r="AW19" s="74">
        <f ca="1">VLOOKUP($AS19,$AD$1:$AL$24,4)</f>
        <v>0</v>
      </c>
      <c r="AX19" s="74">
        <f ca="1">VLOOKUP($AS19,$AD$1:$AL$24,5)</f>
        <v>0</v>
      </c>
      <c r="AY19" s="88"/>
      <c r="AZ19" s="74">
        <f ca="1">VLOOKUP($AS19,$AD$1:$AL$24,6)</f>
        <v>7</v>
      </c>
      <c r="BA19" s="74" t="s">
        <v>8</v>
      </c>
      <c r="BB19" s="74">
        <f ca="1">VLOOKUP($AS19,$AD$1:$AL$24,7)</f>
        <v>0</v>
      </c>
      <c r="BC19" s="88"/>
      <c r="BD19" s="75">
        <f ca="1">VLOOKUP($AS19,$AD$1:$AL$24,8)</f>
        <v>7</v>
      </c>
      <c r="BE19" s="91"/>
      <c r="BF19" s="76">
        <f ca="1">VLOOKUP($AS19,$AD$1:$AL$24,9)</f>
        <v>9</v>
      </c>
      <c r="BH19" s="21" t="str">
        <f ca="1">AP5</f>
        <v>B3</v>
      </c>
      <c r="BI19" s="12" t="str">
        <f ca="1">VLOOKUP(BH19,helper!$G$2:$I$25,2)&amp;IF(SUM(BJ$19:BJ$22)=12,"",helper!$U$2)</f>
        <v>Belgien</v>
      </c>
      <c r="BJ19" s="74">
        <f ca="1">VLOOKUP($BH19,$AD$1:$AL$24,2)</f>
        <v>3</v>
      </c>
      <c r="BK19" s="74">
        <f ca="1">VLOOKUP($BH19,$AD$1:$AL$24,3)</f>
        <v>3</v>
      </c>
      <c r="BL19" s="74">
        <f ca="1">VLOOKUP($BH19,$AD$1:$AL$24,4)</f>
        <v>0</v>
      </c>
      <c r="BM19" s="74">
        <f ca="1">VLOOKUP($BH19,$AD$1:$AL$24,5)</f>
        <v>0</v>
      </c>
      <c r="BN19" s="88"/>
      <c r="BO19" s="74">
        <f ca="1">VLOOKUP($BH19,$AD$1:$AL$24,6)</f>
        <v>7</v>
      </c>
      <c r="BP19" s="74" t="s">
        <v>8</v>
      </c>
      <c r="BQ19" s="74">
        <f ca="1">VLOOKUP($BH19,$AD$1:$AL$24,7)</f>
        <v>1</v>
      </c>
      <c r="BR19" s="88"/>
      <c r="BS19" s="75">
        <f ca="1">VLOOKUP($BH19,$AD$1:$AL$24,8)</f>
        <v>6</v>
      </c>
      <c r="BT19" s="91"/>
      <c r="BU19" s="76">
        <f ca="1">VLOOKUP($BH19,$AD$1:$AL$24,9)</f>
        <v>9</v>
      </c>
      <c r="BW19" s="157" t="str">
        <f t="shared" ref="BW19:BW21" ca="1" si="33">LEFT(AS11,1)</f>
        <v>D</v>
      </c>
      <c r="BX19" s="157" t="str">
        <f t="shared" ref="BX19:BX21" ca="1" si="34">AT11</f>
        <v>Tschechien</v>
      </c>
      <c r="BY19" s="157">
        <f t="shared" ref="BY19:BY21" ca="1" si="35">CODE(BW19)</f>
        <v>68</v>
      </c>
      <c r="BZ19" s="157">
        <f t="shared" ref="BZ19:BZ21" ca="1" si="36">RANK(BY19,$BY$18:$BY$21,1)*10+ROW()-17</f>
        <v>32</v>
      </c>
      <c r="CA19" s="157">
        <f t="shared" ref="CA19:CA21" ca="1" si="37">SMALL($BZ$18:$BZ$21,ROW()-17)</f>
        <v>24</v>
      </c>
      <c r="CB19" s="157" t="str">
        <f ca="1">OFFSET(BW$17,MOD($CA19,10),)</f>
        <v>C</v>
      </c>
      <c r="CC19" s="157" t="str">
        <f ca="1">OFFSET(BX$17,MOD($CA19,10),)</f>
        <v>Ukraine</v>
      </c>
    </row>
    <row r="20" spans="1:81" ht="18.75" x14ac:dyDescent="0.25">
      <c r="A20" s="133">
        <v>20</v>
      </c>
      <c r="B20" s="134">
        <v>2</v>
      </c>
      <c r="C20" s="134" t="str">
        <f t="shared" si="8"/>
        <v>D</v>
      </c>
      <c r="D20" s="135">
        <v>44365.75</v>
      </c>
      <c r="E20" s="3" t="s">
        <v>165</v>
      </c>
      <c r="F20" s="1" t="str">
        <f>VLOOKUP(E20,helper!$D$2:$E$12,2)</f>
        <v>Hampden Park</v>
      </c>
      <c r="G20" s="131" t="s">
        <v>61</v>
      </c>
      <c r="H20" s="132" t="str">
        <f>VLOOKUP(G20,helper!$K$2:$L$25,2)</f>
        <v>Kroatien</v>
      </c>
      <c r="I20" s="156">
        <v>1</v>
      </c>
      <c r="J20" s="154" t="s">
        <v>8</v>
      </c>
      <c r="K20" s="156">
        <v>1</v>
      </c>
      <c r="L20" s="155" t="str">
        <f>VLOOKUP(M20,helper!$K$2:$L$25,2)</f>
        <v>Tschechien</v>
      </c>
      <c r="M20" s="155" t="s">
        <v>59</v>
      </c>
      <c r="N20" s="84"/>
      <c r="O20" s="6" t="str">
        <f>VLOOKUP(G20,helper!$K$2:$M$25,3)</f>
        <v>D2</v>
      </c>
      <c r="P20" s="6">
        <f t="shared" si="9"/>
        <v>1</v>
      </c>
      <c r="Q20" s="6">
        <f t="shared" si="10"/>
        <v>0</v>
      </c>
      <c r="R20" s="6">
        <f t="shared" si="11"/>
        <v>1</v>
      </c>
      <c r="S20" s="6">
        <f t="shared" si="12"/>
        <v>0</v>
      </c>
      <c r="T20" s="6">
        <f t="shared" si="13"/>
        <v>1</v>
      </c>
      <c r="U20" s="6">
        <f t="shared" si="14"/>
        <v>1</v>
      </c>
      <c r="V20" s="7" t="str">
        <f>VLOOKUP(M20,helper!$K$2:$M$25,3)</f>
        <v>D4</v>
      </c>
      <c r="W20" s="6">
        <f t="shared" si="15"/>
        <v>1</v>
      </c>
      <c r="X20" s="6">
        <f t="shared" si="16"/>
        <v>0</v>
      </c>
      <c r="Y20" s="6">
        <f t="shared" si="17"/>
        <v>1</v>
      </c>
      <c r="Z20" s="6">
        <f t="shared" si="18"/>
        <v>0</v>
      </c>
      <c r="AA20" s="6">
        <f t="shared" si="19"/>
        <v>1</v>
      </c>
      <c r="AB20" s="6">
        <f t="shared" si="20"/>
        <v>1</v>
      </c>
      <c r="AC20" s="6"/>
      <c r="AD20" s="6" t="str">
        <f>helper!G21</f>
        <v>E4</v>
      </c>
      <c r="AE20" s="6">
        <f t="shared" si="0"/>
        <v>3</v>
      </c>
      <c r="AF20" s="6">
        <f t="shared" si="1"/>
        <v>1</v>
      </c>
      <c r="AG20" s="6">
        <f t="shared" si="2"/>
        <v>0</v>
      </c>
      <c r="AH20" s="6">
        <f t="shared" si="3"/>
        <v>2</v>
      </c>
      <c r="AI20" s="6">
        <f t="shared" si="4"/>
        <v>2</v>
      </c>
      <c r="AJ20" s="6">
        <f t="shared" si="5"/>
        <v>7</v>
      </c>
      <c r="AK20" s="85">
        <f t="shared" si="21"/>
        <v>-5</v>
      </c>
      <c r="AL20" s="6">
        <f>SUMPRODUCT(AF20:AH20,{3,1,0})</f>
        <v>3</v>
      </c>
      <c r="AM20" s="85">
        <f>(AL20+'tie breaker'!F22/10)*1000000+(50+AK20)*1000+(AI20)*10+5-RIGHT(AD20,1)</f>
        <v>3045021</v>
      </c>
      <c r="AN20" s="85">
        <f t="shared" ca="1" si="6"/>
        <v>3</v>
      </c>
      <c r="AO20" s="85">
        <f t="shared" ca="1" si="7"/>
        <v>3</v>
      </c>
      <c r="AP20" s="85" t="str">
        <f t="shared" ca="1" si="22"/>
        <v>E3</v>
      </c>
      <c r="AQ20" s="85"/>
      <c r="AS20" s="21" t="str">
        <f ca="1">AP2</f>
        <v>A3</v>
      </c>
      <c r="AT20" s="24" t="str">
        <f ca="1">VLOOKUP(AS20,helper!$G$2:$I$25,2)&amp;IF(SUM(AU$19:AU$22)=12,"",helper!$U$2)</f>
        <v>Wales</v>
      </c>
      <c r="AU20" s="74">
        <f ca="1">VLOOKUP($AS20,$AD$1:$AL$24,2)</f>
        <v>3</v>
      </c>
      <c r="AV20" s="74">
        <f ca="1">VLOOKUP($AS20,$AD$1:$AL$24,3)</f>
        <v>1</v>
      </c>
      <c r="AW20" s="74">
        <f ca="1">VLOOKUP($AS20,$AD$1:$AL$24,4)</f>
        <v>1</v>
      </c>
      <c r="AX20" s="74">
        <f ca="1">VLOOKUP($AS20,$AD$1:$AL$24,5)</f>
        <v>1</v>
      </c>
      <c r="AY20" s="88"/>
      <c r="AZ20" s="74">
        <f ca="1">VLOOKUP($AS20,$AD$1:$AL$24,6)</f>
        <v>3</v>
      </c>
      <c r="BA20" s="74" t="s">
        <v>8</v>
      </c>
      <c r="BB20" s="74">
        <f ca="1">VLOOKUP($AS20,$AD$1:$AL$24,7)</f>
        <v>2</v>
      </c>
      <c r="BC20" s="88"/>
      <c r="BD20" s="75">
        <f ca="1">VLOOKUP($AS20,$AD$1:$AL$24,8)</f>
        <v>1</v>
      </c>
      <c r="BE20" s="91"/>
      <c r="BF20" s="76">
        <f ca="1">VLOOKUP($AS20,$AD$1:$AL$24,9)</f>
        <v>4</v>
      </c>
      <c r="BH20" s="21" t="str">
        <f ca="1">AP6</f>
        <v>B1</v>
      </c>
      <c r="BI20" s="12" t="str">
        <f ca="1">VLOOKUP(BH20,helper!$G$2:$I$25,2)&amp;IF(SUM(BJ$19:BJ$22)=12,"",helper!$U$2)</f>
        <v>Dänemark</v>
      </c>
      <c r="BJ20" s="74">
        <f ca="1">VLOOKUP($BH20,$AD$1:$AL$24,2)</f>
        <v>3</v>
      </c>
      <c r="BK20" s="74">
        <f ca="1">VLOOKUP($BH20,$AD$1:$AL$24,3)</f>
        <v>1</v>
      </c>
      <c r="BL20" s="74">
        <f ca="1">VLOOKUP($BH20,$AD$1:$AL$24,4)</f>
        <v>0</v>
      </c>
      <c r="BM20" s="74">
        <f ca="1">VLOOKUP($BH20,$AD$1:$AL$24,5)</f>
        <v>2</v>
      </c>
      <c r="BN20" s="88"/>
      <c r="BO20" s="74">
        <f ca="1">VLOOKUP($BH20,$AD$1:$AL$24,6)</f>
        <v>5</v>
      </c>
      <c r="BP20" s="74" t="s">
        <v>8</v>
      </c>
      <c r="BQ20" s="74">
        <f ca="1">VLOOKUP($BH20,$AD$1:$AL$24,7)</f>
        <v>4</v>
      </c>
      <c r="BR20" s="88"/>
      <c r="BS20" s="75">
        <f ca="1">VLOOKUP($BH20,$AD$1:$AL$24,8)</f>
        <v>1</v>
      </c>
      <c r="BT20" s="91"/>
      <c r="BU20" s="76">
        <f ca="1">VLOOKUP($BH20,$AD$1:$AL$24,9)</f>
        <v>3</v>
      </c>
      <c r="BW20" s="157" t="str">
        <f t="shared" ca="1" si="33"/>
        <v>A</v>
      </c>
      <c r="BX20" s="157" t="str">
        <f t="shared" ca="1" si="34"/>
        <v>Schweiz</v>
      </c>
      <c r="BY20" s="157">
        <f t="shared" ca="1" si="35"/>
        <v>65</v>
      </c>
      <c r="BZ20" s="157">
        <f t="shared" ca="1" si="36"/>
        <v>13</v>
      </c>
      <c r="CA20" s="157">
        <f t="shared" ca="1" si="37"/>
        <v>32</v>
      </c>
      <c r="CB20" s="157" t="str">
        <f ca="1">OFFSET(BW$17,MOD($CA20,10),)</f>
        <v>D</v>
      </c>
      <c r="CC20" s="157" t="str">
        <f ca="1">OFFSET(BX$17,MOD($CA20,10),)</f>
        <v>Tschechien</v>
      </c>
    </row>
    <row r="21" spans="1:81" ht="18.75" x14ac:dyDescent="0.25">
      <c r="A21" s="133">
        <v>21</v>
      </c>
      <c r="B21" s="134">
        <v>2</v>
      </c>
      <c r="C21" s="134" t="str">
        <f t="shared" si="8"/>
        <v>D</v>
      </c>
      <c r="D21" s="135">
        <v>44365.875</v>
      </c>
      <c r="E21" s="3" t="s">
        <v>161</v>
      </c>
      <c r="F21" s="1" t="str">
        <f>VLOOKUP(E21,helper!$D$2:$E$12,2)</f>
        <v>Wembley Stadium</v>
      </c>
      <c r="G21" s="131" t="s">
        <v>51</v>
      </c>
      <c r="H21" s="132" t="str">
        <f>VLOOKUP(G21,helper!$K$2:$L$25,2)</f>
        <v>England</v>
      </c>
      <c r="I21" s="156">
        <v>0</v>
      </c>
      <c r="J21" s="154" t="s">
        <v>8</v>
      </c>
      <c r="K21" s="156">
        <v>0</v>
      </c>
      <c r="L21" s="155" t="str">
        <f>VLOOKUP(M21,helper!$K$2:$L$25,2)</f>
        <v>Schottland</v>
      </c>
      <c r="M21" s="155" t="s">
        <v>182</v>
      </c>
      <c r="N21" s="84"/>
      <c r="O21" s="6" t="str">
        <f>VLOOKUP(G21,helper!$K$2:$M$25,3)</f>
        <v>D1</v>
      </c>
      <c r="P21" s="6">
        <f t="shared" si="9"/>
        <v>1</v>
      </c>
      <c r="Q21" s="6">
        <f t="shared" si="10"/>
        <v>0</v>
      </c>
      <c r="R21" s="6">
        <f t="shared" si="11"/>
        <v>1</v>
      </c>
      <c r="S21" s="6">
        <f t="shared" si="12"/>
        <v>0</v>
      </c>
      <c r="T21" s="6">
        <f t="shared" si="13"/>
        <v>0</v>
      </c>
      <c r="U21" s="6">
        <f t="shared" si="14"/>
        <v>0</v>
      </c>
      <c r="V21" s="7" t="str">
        <f>VLOOKUP(M21,helper!$K$2:$M$25,3)</f>
        <v>D3</v>
      </c>
      <c r="W21" s="6">
        <f t="shared" si="15"/>
        <v>1</v>
      </c>
      <c r="X21" s="6">
        <f t="shared" si="16"/>
        <v>0</v>
      </c>
      <c r="Y21" s="6">
        <f t="shared" si="17"/>
        <v>1</v>
      </c>
      <c r="Z21" s="6">
        <f t="shared" si="18"/>
        <v>0</v>
      </c>
      <c r="AA21" s="6">
        <f t="shared" si="19"/>
        <v>0</v>
      </c>
      <c r="AB21" s="6">
        <f t="shared" si="20"/>
        <v>0</v>
      </c>
      <c r="AC21" s="6"/>
      <c r="AD21" s="6" t="str">
        <f>helper!G22</f>
        <v>F1</v>
      </c>
      <c r="AE21" s="6">
        <f t="shared" si="0"/>
        <v>3</v>
      </c>
      <c r="AF21" s="6">
        <f t="shared" si="1"/>
        <v>0</v>
      </c>
      <c r="AG21" s="6">
        <f t="shared" si="2"/>
        <v>2</v>
      </c>
      <c r="AH21" s="6">
        <f t="shared" si="3"/>
        <v>1</v>
      </c>
      <c r="AI21" s="6">
        <f t="shared" si="4"/>
        <v>3</v>
      </c>
      <c r="AJ21" s="6">
        <f t="shared" si="5"/>
        <v>6</v>
      </c>
      <c r="AK21" s="85">
        <f t="shared" si="21"/>
        <v>-3</v>
      </c>
      <c r="AL21" s="6">
        <f>SUMPRODUCT(AF21:AH21,{3,1,0})</f>
        <v>2</v>
      </c>
      <c r="AM21" s="85">
        <f>(AL21+'tie breaker'!F23/10)*1000000+(50+AK21)*1000+(AI21)*10+5-RIGHT(AD21,1)</f>
        <v>2047034</v>
      </c>
      <c r="AN21" s="85">
        <f t="shared" ca="1" si="6"/>
        <v>4</v>
      </c>
      <c r="AO21" s="85">
        <f t="shared" ca="1" si="7"/>
        <v>3</v>
      </c>
      <c r="AP21" s="85" t="str">
        <f t="shared" ca="1" si="22"/>
        <v>F3</v>
      </c>
      <c r="AQ21" s="85" t="str">
        <f ca="1">AP21</f>
        <v>F3</v>
      </c>
      <c r="AS21" s="22" t="str">
        <f ca="1">AP3</f>
        <v>A4</v>
      </c>
      <c r="AT21" s="32" t="str">
        <f ca="1">VLOOKUP(AS21,helper!$G$2:$I$25,2)&amp;IF(SUM(AU$19:AU$22)=12,"",helper!$U$2)</f>
        <v>Schweiz</v>
      </c>
      <c r="AU21" s="72">
        <f ca="1">VLOOKUP($AS21,$AD$1:$AL$24,2)</f>
        <v>3</v>
      </c>
      <c r="AV21" s="72">
        <f ca="1">VLOOKUP($AS21,$AD$1:$AL$24,3)</f>
        <v>1</v>
      </c>
      <c r="AW21" s="72">
        <f ca="1">VLOOKUP($AS21,$AD$1:$AL$24,4)</f>
        <v>1</v>
      </c>
      <c r="AX21" s="72">
        <f ca="1">VLOOKUP($AS21,$AD$1:$AL$24,5)</f>
        <v>1</v>
      </c>
      <c r="AY21" s="89"/>
      <c r="AZ21" s="72">
        <f ca="1">VLOOKUP($AS21,$AD$1:$AL$24,6)</f>
        <v>4</v>
      </c>
      <c r="BA21" s="72" t="s">
        <v>8</v>
      </c>
      <c r="BB21" s="72">
        <f ca="1">VLOOKUP($AS21,$AD$1:$AL$24,7)</f>
        <v>5</v>
      </c>
      <c r="BC21" s="89"/>
      <c r="BD21" s="73">
        <f ca="1">VLOOKUP($AS21,$AD$1:$AL$24,8)</f>
        <v>-1</v>
      </c>
      <c r="BE21" s="92"/>
      <c r="BF21" s="86">
        <f ca="1">VLOOKUP($AS21,$AD$1:$AL$24,9)</f>
        <v>4</v>
      </c>
      <c r="BH21" s="22" t="str">
        <f ca="1">AP7</f>
        <v>B2</v>
      </c>
      <c r="BI21" s="34" t="str">
        <f ca="1">VLOOKUP(BH21,helper!$G$2:$I$25,2)&amp;IF(SUM(BJ$19:BJ$22)=12,"",helper!$U$2)</f>
        <v>Finnland</v>
      </c>
      <c r="BJ21" s="72">
        <f ca="1">VLOOKUP($BH21,$AD$1:$AL$24,2)</f>
        <v>3</v>
      </c>
      <c r="BK21" s="72">
        <f ca="1">VLOOKUP($BH21,$AD$1:$AL$24,3)</f>
        <v>1</v>
      </c>
      <c r="BL21" s="72">
        <f ca="1">VLOOKUP($BH21,$AD$1:$AL$24,4)</f>
        <v>0</v>
      </c>
      <c r="BM21" s="72">
        <f ca="1">VLOOKUP($BH21,$AD$1:$AL$24,5)</f>
        <v>2</v>
      </c>
      <c r="BN21" s="89"/>
      <c r="BO21" s="72">
        <f ca="1">VLOOKUP($BH21,$AD$1:$AL$24,6)</f>
        <v>1</v>
      </c>
      <c r="BP21" s="72" t="s">
        <v>8</v>
      </c>
      <c r="BQ21" s="72">
        <f ca="1">VLOOKUP($BH21,$AD$1:$AL$24,7)</f>
        <v>3</v>
      </c>
      <c r="BR21" s="89"/>
      <c r="BS21" s="73">
        <f ca="1">VLOOKUP($BH21,$AD$1:$AL$24,8)</f>
        <v>-2</v>
      </c>
      <c r="BT21" s="92"/>
      <c r="BU21" s="86">
        <f ca="1">VLOOKUP($BH21,$AD$1:$AL$24,9)</f>
        <v>3</v>
      </c>
      <c r="BW21" s="157" t="str">
        <f t="shared" ca="1" si="33"/>
        <v>C</v>
      </c>
      <c r="BX21" s="157" t="str">
        <f t="shared" ca="1" si="34"/>
        <v>Ukraine</v>
      </c>
      <c r="BY21" s="157">
        <f t="shared" ca="1" si="35"/>
        <v>67</v>
      </c>
      <c r="BZ21" s="157">
        <f t="shared" ca="1" si="36"/>
        <v>24</v>
      </c>
      <c r="CA21" s="157">
        <f t="shared" ca="1" si="37"/>
        <v>41</v>
      </c>
      <c r="CB21" s="157" t="str">
        <f ca="1">OFFSET(BW$17,MOD($CA21,10),)</f>
        <v>F</v>
      </c>
      <c r="CC21" s="157" t="str">
        <f ca="1">OFFSET(BX$17,MOD($CA21,10),)</f>
        <v>Portugal</v>
      </c>
    </row>
    <row r="22" spans="1:81" ht="19.5" thickBot="1" x14ac:dyDescent="0.3">
      <c r="A22" s="133">
        <v>22</v>
      </c>
      <c r="B22" s="134">
        <v>2</v>
      </c>
      <c r="C22" s="134" t="str">
        <f t="shared" si="8"/>
        <v>F</v>
      </c>
      <c r="D22" s="135">
        <v>44366.625</v>
      </c>
      <c r="E22" s="3" t="s">
        <v>169</v>
      </c>
      <c r="F22" s="1" t="str">
        <f>VLOOKUP(E22,helper!$D$2:$E$12,2)</f>
        <v>Puskás Aréna</v>
      </c>
      <c r="G22" s="131" t="s">
        <v>67</v>
      </c>
      <c r="H22" s="132" t="str">
        <f>VLOOKUP(G22,helper!$K$2:$L$25,2)</f>
        <v>Ungarn</v>
      </c>
      <c r="I22" s="156">
        <v>1</v>
      </c>
      <c r="J22" s="154" t="s">
        <v>8</v>
      </c>
      <c r="K22" s="156">
        <v>1</v>
      </c>
      <c r="L22" s="155" t="str">
        <f>VLOOKUP(M22,helper!$K$2:$L$25,2)</f>
        <v>Frankreich</v>
      </c>
      <c r="M22" s="155" t="s">
        <v>49</v>
      </c>
      <c r="N22" s="84"/>
      <c r="O22" s="6" t="str">
        <f>VLOOKUP(G22,helper!$K$2:$M$25,3)</f>
        <v>F1</v>
      </c>
      <c r="P22" s="6">
        <f t="shared" si="9"/>
        <v>1</v>
      </c>
      <c r="Q22" s="6">
        <f t="shared" si="10"/>
        <v>0</v>
      </c>
      <c r="R22" s="6">
        <f t="shared" si="11"/>
        <v>1</v>
      </c>
      <c r="S22" s="6">
        <f t="shared" si="12"/>
        <v>0</v>
      </c>
      <c r="T22" s="6">
        <f t="shared" si="13"/>
        <v>1</v>
      </c>
      <c r="U22" s="6">
        <f t="shared" si="14"/>
        <v>1</v>
      </c>
      <c r="V22" s="7" t="str">
        <f>VLOOKUP(M22,helper!$K$2:$M$25,3)</f>
        <v>F3</v>
      </c>
      <c r="W22" s="6">
        <f t="shared" si="15"/>
        <v>1</v>
      </c>
      <c r="X22" s="6">
        <f t="shared" si="16"/>
        <v>0</v>
      </c>
      <c r="Y22" s="6">
        <f t="shared" si="17"/>
        <v>1</v>
      </c>
      <c r="Z22" s="6">
        <f t="shared" si="18"/>
        <v>0</v>
      </c>
      <c r="AA22" s="6">
        <f t="shared" si="19"/>
        <v>1</v>
      </c>
      <c r="AB22" s="6">
        <f t="shared" si="20"/>
        <v>1</v>
      </c>
      <c r="AC22" s="6"/>
      <c r="AD22" s="6" t="str">
        <f>helper!G23</f>
        <v>F2</v>
      </c>
      <c r="AE22" s="6">
        <f t="shared" si="0"/>
        <v>3</v>
      </c>
      <c r="AF22" s="6">
        <f t="shared" si="1"/>
        <v>1</v>
      </c>
      <c r="AG22" s="6">
        <f t="shared" si="2"/>
        <v>1</v>
      </c>
      <c r="AH22" s="6">
        <f t="shared" si="3"/>
        <v>1</v>
      </c>
      <c r="AI22" s="6">
        <f t="shared" si="4"/>
        <v>7</v>
      </c>
      <c r="AJ22" s="6">
        <f t="shared" si="5"/>
        <v>6</v>
      </c>
      <c r="AK22" s="85">
        <f t="shared" si="21"/>
        <v>1</v>
      </c>
      <c r="AL22" s="6">
        <f>SUMPRODUCT(AF22:AH22,{3,1,0})</f>
        <v>4</v>
      </c>
      <c r="AM22" s="85">
        <f>(AL22+'tie breaker'!F24/10)*1000000+(50+AK22)*1000+(AI22)*10+5-RIGHT(AD22,1)</f>
        <v>4051073</v>
      </c>
      <c r="AN22" s="85">
        <f t="shared" ca="1" si="6"/>
        <v>3</v>
      </c>
      <c r="AO22" s="85">
        <f t="shared" ca="1" si="7"/>
        <v>4</v>
      </c>
      <c r="AP22" s="85" t="str">
        <f t="shared" ca="1" si="22"/>
        <v>F4</v>
      </c>
      <c r="AQ22" s="85" t="str">
        <f ca="1">AP22</f>
        <v>F4</v>
      </c>
      <c r="AS22" s="23" t="str">
        <f ca="1">AP4</f>
        <v>A1</v>
      </c>
      <c r="AT22" s="33" t="str">
        <f ca="1">VLOOKUP(AS22,helper!$G$2:$I$25,2)&amp;IF(SUM(AU$19:AU$22)=12,"",helper!$U$2)</f>
        <v>Türkei</v>
      </c>
      <c r="AU22" s="77">
        <f ca="1">VLOOKUP($AS22,$AD$1:$AL$24,2)</f>
        <v>3</v>
      </c>
      <c r="AV22" s="77">
        <f ca="1">VLOOKUP($AS22,$AD$1:$AL$24,3)</f>
        <v>0</v>
      </c>
      <c r="AW22" s="77">
        <f ca="1">VLOOKUP($AS22,$AD$1:$AL$24,4)</f>
        <v>0</v>
      </c>
      <c r="AX22" s="77">
        <f ca="1">VLOOKUP($AS22,$AD$1:$AL$24,5)</f>
        <v>3</v>
      </c>
      <c r="AY22" s="90"/>
      <c r="AZ22" s="77">
        <f ca="1">VLOOKUP($AS22,$AD$1:$AL$24,6)</f>
        <v>1</v>
      </c>
      <c r="BA22" s="77" t="s">
        <v>8</v>
      </c>
      <c r="BB22" s="77">
        <f ca="1">VLOOKUP($AS22,$AD$1:$AL$24,7)</f>
        <v>8</v>
      </c>
      <c r="BC22" s="90"/>
      <c r="BD22" s="78">
        <f ca="1">VLOOKUP($AS22,$AD$1:$AL$24,8)</f>
        <v>-7</v>
      </c>
      <c r="BE22" s="93"/>
      <c r="BF22" s="87">
        <f ca="1">VLOOKUP($AS22,$AD$1:$AL$24,9)</f>
        <v>0</v>
      </c>
      <c r="BH22" s="23" t="str">
        <f ca="1">AP8</f>
        <v>B4</v>
      </c>
      <c r="BI22" s="35" t="str">
        <f ca="1">VLOOKUP(BH22,helper!$G$2:$I$25,2)&amp;IF(SUM(BJ$19:BJ$22)=12,"",helper!$U$2)</f>
        <v>Russland</v>
      </c>
      <c r="BJ22" s="77">
        <f ca="1">VLOOKUP($BH22,$AD$1:$AL$24,2)</f>
        <v>3</v>
      </c>
      <c r="BK22" s="77">
        <f ca="1">VLOOKUP($BH22,$AD$1:$AL$24,3)</f>
        <v>1</v>
      </c>
      <c r="BL22" s="77">
        <f ca="1">VLOOKUP($BH22,$AD$1:$AL$24,4)</f>
        <v>0</v>
      </c>
      <c r="BM22" s="77">
        <f ca="1">VLOOKUP($BH22,$AD$1:$AL$24,5)</f>
        <v>2</v>
      </c>
      <c r="BN22" s="90"/>
      <c r="BO22" s="77">
        <f ca="1">VLOOKUP($BH22,$AD$1:$AL$24,6)</f>
        <v>2</v>
      </c>
      <c r="BP22" s="77" t="s">
        <v>8</v>
      </c>
      <c r="BQ22" s="77">
        <f ca="1">VLOOKUP($BH22,$AD$1:$AL$24,7)</f>
        <v>7</v>
      </c>
      <c r="BR22" s="90"/>
      <c r="BS22" s="78">
        <f ca="1">VLOOKUP($BH22,$AD$1:$AL$24,8)</f>
        <v>-5</v>
      </c>
      <c r="BT22" s="93"/>
      <c r="BU22" s="87">
        <f ca="1">VLOOKUP($BH22,$AD$1:$AL$24,9)</f>
        <v>3</v>
      </c>
    </row>
    <row r="23" spans="1:81" ht="19.5" thickBot="1" x14ac:dyDescent="0.3">
      <c r="A23" s="133">
        <v>23</v>
      </c>
      <c r="B23" s="134">
        <v>2</v>
      </c>
      <c r="C23" s="134" t="str">
        <f t="shared" si="8"/>
        <v>F</v>
      </c>
      <c r="D23" s="135">
        <v>44366.75</v>
      </c>
      <c r="E23" s="3" t="s">
        <v>163</v>
      </c>
      <c r="F23" s="1" t="str">
        <f>VLOOKUP(E23,helper!$D$2:$E$12,2)</f>
        <v>Allianz Arena</v>
      </c>
      <c r="G23" s="131" t="s">
        <v>65</v>
      </c>
      <c r="H23" s="132" t="str">
        <f>VLOOKUP(G23,helper!$K$2:$L$25,2)</f>
        <v>Portugal</v>
      </c>
      <c r="I23" s="156">
        <v>2</v>
      </c>
      <c r="J23" s="154" t="s">
        <v>8</v>
      </c>
      <c r="K23" s="156">
        <v>4</v>
      </c>
      <c r="L23" s="155" t="str">
        <f>VLOOKUP(M23,helper!$K$2:$L$25,2)</f>
        <v>Deutschland</v>
      </c>
      <c r="M23" s="155" t="s">
        <v>55</v>
      </c>
      <c r="N23" s="84"/>
      <c r="O23" s="6" t="str">
        <f>VLOOKUP(G23,helper!$K$2:$M$25,3)</f>
        <v>F2</v>
      </c>
      <c r="P23" s="6">
        <f t="shared" si="9"/>
        <v>1</v>
      </c>
      <c r="Q23" s="6">
        <f t="shared" si="10"/>
        <v>0</v>
      </c>
      <c r="R23" s="6">
        <f t="shared" si="11"/>
        <v>0</v>
      </c>
      <c r="S23" s="6">
        <f t="shared" si="12"/>
        <v>1</v>
      </c>
      <c r="T23" s="6">
        <f t="shared" si="13"/>
        <v>2</v>
      </c>
      <c r="U23" s="6">
        <f t="shared" si="14"/>
        <v>4</v>
      </c>
      <c r="V23" s="7" t="str">
        <f>VLOOKUP(M23,helper!$K$2:$M$25,3)</f>
        <v>F4</v>
      </c>
      <c r="W23" s="6">
        <f t="shared" si="15"/>
        <v>1</v>
      </c>
      <c r="X23" s="6">
        <f t="shared" si="16"/>
        <v>1</v>
      </c>
      <c r="Y23" s="6">
        <f t="shared" si="17"/>
        <v>0</v>
      </c>
      <c r="Z23" s="6">
        <f t="shared" si="18"/>
        <v>0</v>
      </c>
      <c r="AA23" s="6">
        <f t="shared" si="19"/>
        <v>4</v>
      </c>
      <c r="AB23" s="6">
        <f t="shared" si="20"/>
        <v>2</v>
      </c>
      <c r="AC23" s="6"/>
      <c r="AD23" s="6" t="str">
        <f>helper!G24</f>
        <v>F3</v>
      </c>
      <c r="AE23" s="6">
        <f t="shared" si="0"/>
        <v>3</v>
      </c>
      <c r="AF23" s="6">
        <f t="shared" si="1"/>
        <v>1</v>
      </c>
      <c r="AG23" s="6">
        <f t="shared" si="2"/>
        <v>2</v>
      </c>
      <c r="AH23" s="6">
        <f t="shared" si="3"/>
        <v>0</v>
      </c>
      <c r="AI23" s="6">
        <f t="shared" si="4"/>
        <v>4</v>
      </c>
      <c r="AJ23" s="6">
        <f t="shared" si="5"/>
        <v>3</v>
      </c>
      <c r="AK23" s="85">
        <f t="shared" si="21"/>
        <v>1</v>
      </c>
      <c r="AL23" s="6">
        <f>SUMPRODUCT(AF23:AH23,{3,1,0})</f>
        <v>5</v>
      </c>
      <c r="AM23" s="85">
        <f>(AL23+'tie breaker'!F25/10)*1000000+(50+AK23)*1000+(AI23)*10+5-RIGHT(AD23,1)</f>
        <v>5051042</v>
      </c>
      <c r="AN23" s="85">
        <f t="shared" ca="1" si="6"/>
        <v>1</v>
      </c>
      <c r="AO23" s="85">
        <f t="shared" ca="1" si="7"/>
        <v>2</v>
      </c>
      <c r="AP23" s="85" t="str">
        <f t="shared" ca="1" si="22"/>
        <v>F2</v>
      </c>
      <c r="AQ23" s="85"/>
      <c r="BX23" s="157" t="str">
        <f ca="1">CB18&amp;CB19&amp;CB20&amp;CB21</f>
        <v>ACDF</v>
      </c>
      <c r="BY23" s="157" t="str">
        <f ca="1">VLOOKUP($BX$23,helper!$O$2:$S$16,COLUMN()-75)</f>
        <v>F</v>
      </c>
      <c r="BZ23" s="157" t="str">
        <f ca="1">VLOOKUP($BX$23,helper!$O$2:$S$16,COLUMN()-75)</f>
        <v>D</v>
      </c>
      <c r="CA23" s="157" t="str">
        <f ca="1">VLOOKUP($BX$23,helper!$O$2:$S$16,COLUMN()-75)</f>
        <v>C</v>
      </c>
      <c r="CB23" s="157" t="str">
        <f ca="1">VLOOKUP($BX$23,helper!$O$2:$S$16,COLUMN()-75)</f>
        <v>A</v>
      </c>
    </row>
    <row r="24" spans="1:81" ht="18.75" x14ac:dyDescent="0.25">
      <c r="A24" s="133">
        <v>24</v>
      </c>
      <c r="B24" s="134">
        <v>2</v>
      </c>
      <c r="C24" s="134" t="str">
        <f t="shared" si="8"/>
        <v>E</v>
      </c>
      <c r="D24" s="135">
        <v>44366.875</v>
      </c>
      <c r="E24" s="3" t="s">
        <v>167</v>
      </c>
      <c r="F24" s="1" t="str">
        <f>VLOOKUP(E24,helper!$D$2:$E$12,2)</f>
        <v>Estadio Olímpico</v>
      </c>
      <c r="G24" s="131" t="s">
        <v>58</v>
      </c>
      <c r="H24" s="132" t="str">
        <f>VLOOKUP(G24,helper!$K$2:$L$25,2)</f>
        <v>Spanien</v>
      </c>
      <c r="I24" s="156">
        <v>1</v>
      </c>
      <c r="J24" s="154" t="s">
        <v>8</v>
      </c>
      <c r="K24" s="156">
        <v>1</v>
      </c>
      <c r="L24" s="155" t="str">
        <f>VLOOKUP(M24,helper!$K$2:$L$25,2)</f>
        <v>Polen</v>
      </c>
      <c r="M24" s="155" t="s">
        <v>57</v>
      </c>
      <c r="N24" s="84"/>
      <c r="O24" s="6" t="str">
        <f>VLOOKUP(G24,helper!$K$2:$M$25,3)</f>
        <v>E1</v>
      </c>
      <c r="P24" s="6">
        <f t="shared" si="9"/>
        <v>1</v>
      </c>
      <c r="Q24" s="6">
        <f t="shared" si="10"/>
        <v>0</v>
      </c>
      <c r="R24" s="6">
        <f t="shared" si="11"/>
        <v>1</v>
      </c>
      <c r="S24" s="6">
        <f t="shared" si="12"/>
        <v>0</v>
      </c>
      <c r="T24" s="6">
        <f t="shared" si="13"/>
        <v>1</v>
      </c>
      <c r="U24" s="6">
        <f t="shared" si="14"/>
        <v>1</v>
      </c>
      <c r="V24" s="7" t="str">
        <f>VLOOKUP(M24,helper!$K$2:$M$25,3)</f>
        <v>E3</v>
      </c>
      <c r="W24" s="6">
        <f t="shared" si="15"/>
        <v>1</v>
      </c>
      <c r="X24" s="6">
        <f t="shared" si="16"/>
        <v>0</v>
      </c>
      <c r="Y24" s="6">
        <f t="shared" si="17"/>
        <v>1</v>
      </c>
      <c r="Z24" s="6">
        <f t="shared" si="18"/>
        <v>0</v>
      </c>
      <c r="AA24" s="6">
        <f t="shared" si="19"/>
        <v>1</v>
      </c>
      <c r="AB24" s="6">
        <f t="shared" si="20"/>
        <v>1</v>
      </c>
      <c r="AC24" s="6"/>
      <c r="AD24" s="6" t="str">
        <f>helper!G25</f>
        <v>F4</v>
      </c>
      <c r="AE24" s="6">
        <f t="shared" si="0"/>
        <v>3</v>
      </c>
      <c r="AF24" s="6">
        <f t="shared" si="1"/>
        <v>1</v>
      </c>
      <c r="AG24" s="6">
        <f t="shared" si="2"/>
        <v>1</v>
      </c>
      <c r="AH24" s="6">
        <f t="shared" si="3"/>
        <v>1</v>
      </c>
      <c r="AI24" s="6">
        <f t="shared" si="4"/>
        <v>6</v>
      </c>
      <c r="AJ24" s="6">
        <f t="shared" si="5"/>
        <v>5</v>
      </c>
      <c r="AK24" s="85">
        <f t="shared" si="21"/>
        <v>1</v>
      </c>
      <c r="AL24" s="6">
        <f>SUMPRODUCT(AF24:AH24,{3,1,0})</f>
        <v>4</v>
      </c>
      <c r="AM24" s="85">
        <f>(AL24+'tie breaker'!F26/10)*1000000+(50+AK24)*1000+(AI24)*10+5-RIGHT(AD24,1)</f>
        <v>4151060.9999999995</v>
      </c>
      <c r="AN24" s="85">
        <f t="shared" ca="1" si="6"/>
        <v>2</v>
      </c>
      <c r="AO24" s="85">
        <f t="shared" ca="1" si="7"/>
        <v>1</v>
      </c>
      <c r="AP24" s="85" t="str">
        <f t="shared" ca="1" si="22"/>
        <v>F1</v>
      </c>
      <c r="AQ24" s="85"/>
      <c r="AS24" s="161" t="s">
        <v>76</v>
      </c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3"/>
      <c r="BH24" s="161" t="s">
        <v>77</v>
      </c>
      <c r="BI24" s="162"/>
      <c r="BJ24" s="162"/>
      <c r="BK24" s="162"/>
      <c r="BL24" s="162"/>
      <c r="BM24" s="162"/>
      <c r="BN24" s="162"/>
      <c r="BO24" s="162"/>
      <c r="BP24" s="162"/>
      <c r="BQ24" s="162"/>
      <c r="BR24" s="162"/>
      <c r="BS24" s="162"/>
      <c r="BT24" s="162"/>
      <c r="BU24" s="163"/>
      <c r="BW24" s="157" t="str">
        <f ca="1">BY23</f>
        <v>F</v>
      </c>
      <c r="BX24" s="157" t="str">
        <f ca="1">VLOOKUP(BW24,$CB$18:$CC$21,2)</f>
        <v>Portugal</v>
      </c>
    </row>
    <row r="25" spans="1:81" ht="18.75" x14ac:dyDescent="0.25">
      <c r="A25" s="133">
        <v>25</v>
      </c>
      <c r="B25" s="134">
        <v>3</v>
      </c>
      <c r="C25" s="134" t="str">
        <f t="shared" si="8"/>
        <v>A</v>
      </c>
      <c r="D25" s="135">
        <v>44367.75</v>
      </c>
      <c r="E25" s="3" t="s">
        <v>162</v>
      </c>
      <c r="F25" s="1" t="str">
        <f>VLOOKUP(E25,helper!$D$2:$E$12,2)</f>
        <v>Bakı Milli Stadionu</v>
      </c>
      <c r="G25" s="131" t="s">
        <v>50</v>
      </c>
      <c r="H25" s="132" t="str">
        <f>VLOOKUP(G25,helper!$K$2:$L$25,2)</f>
        <v>Schweiz</v>
      </c>
      <c r="I25" s="156">
        <v>3</v>
      </c>
      <c r="J25" s="154" t="s">
        <v>8</v>
      </c>
      <c r="K25" s="156">
        <v>1</v>
      </c>
      <c r="L25" s="155" t="str">
        <f>VLOOKUP(M25,helper!$K$2:$L$25,2)</f>
        <v>Türkei</v>
      </c>
      <c r="M25" s="155" t="s">
        <v>60</v>
      </c>
      <c r="N25" s="84"/>
      <c r="O25" s="6" t="str">
        <f>VLOOKUP(G25,helper!$K$2:$M$25,3)</f>
        <v>A4</v>
      </c>
      <c r="P25" s="6">
        <f t="shared" si="9"/>
        <v>1</v>
      </c>
      <c r="Q25" s="6">
        <f t="shared" si="10"/>
        <v>1</v>
      </c>
      <c r="R25" s="6">
        <f t="shared" si="11"/>
        <v>0</v>
      </c>
      <c r="S25" s="6">
        <f t="shared" si="12"/>
        <v>0</v>
      </c>
      <c r="T25" s="6">
        <f t="shared" si="13"/>
        <v>3</v>
      </c>
      <c r="U25" s="6">
        <f t="shared" si="14"/>
        <v>1</v>
      </c>
      <c r="V25" s="7" t="str">
        <f>VLOOKUP(M25,helper!$K$2:$M$25,3)</f>
        <v>A1</v>
      </c>
      <c r="W25" s="6">
        <f t="shared" si="15"/>
        <v>1</v>
      </c>
      <c r="X25" s="6">
        <f t="shared" si="16"/>
        <v>0</v>
      </c>
      <c r="Y25" s="6">
        <f t="shared" si="17"/>
        <v>0</v>
      </c>
      <c r="Z25" s="6">
        <f t="shared" si="18"/>
        <v>1</v>
      </c>
      <c r="AA25" s="6">
        <f t="shared" si="19"/>
        <v>1</v>
      </c>
      <c r="AB25" s="6">
        <f t="shared" si="20"/>
        <v>3</v>
      </c>
      <c r="AC25" s="6"/>
      <c r="AD25" s="7"/>
      <c r="AE25" s="7"/>
      <c r="AF25" s="7"/>
      <c r="AG25" s="7"/>
      <c r="AH25" s="7"/>
      <c r="AI25" s="7"/>
      <c r="AK25" s="8"/>
      <c r="AL25" s="8"/>
      <c r="AP25" s="8"/>
      <c r="AQ25" s="8"/>
      <c r="AS25" s="25"/>
      <c r="AT25" s="26"/>
      <c r="AU25" s="70" t="s">
        <v>149</v>
      </c>
      <c r="AV25" s="27" t="s">
        <v>69</v>
      </c>
      <c r="AW25" s="27" t="s">
        <v>70</v>
      </c>
      <c r="AX25" s="27" t="s">
        <v>71</v>
      </c>
      <c r="AY25" s="27"/>
      <c r="AZ25" s="27" t="s">
        <v>73</v>
      </c>
      <c r="BA25" s="27"/>
      <c r="BB25" s="27" t="s">
        <v>74</v>
      </c>
      <c r="BC25" s="27"/>
      <c r="BD25" s="80" t="s">
        <v>150</v>
      </c>
      <c r="BE25" s="27"/>
      <c r="BF25" s="71" t="s">
        <v>72</v>
      </c>
      <c r="BH25" s="25"/>
      <c r="BI25" s="26"/>
      <c r="BJ25" s="70" t="s">
        <v>149</v>
      </c>
      <c r="BK25" s="27" t="s">
        <v>69</v>
      </c>
      <c r="BL25" s="27" t="s">
        <v>70</v>
      </c>
      <c r="BM25" s="27" t="s">
        <v>71</v>
      </c>
      <c r="BN25" s="27"/>
      <c r="BO25" s="27" t="s">
        <v>73</v>
      </c>
      <c r="BP25" s="27"/>
      <c r="BQ25" s="27" t="s">
        <v>74</v>
      </c>
      <c r="BR25" s="27"/>
      <c r="BS25" s="80" t="s">
        <v>150</v>
      </c>
      <c r="BT25" s="27"/>
      <c r="BU25" s="71" t="s">
        <v>72</v>
      </c>
      <c r="BW25" s="157" t="str">
        <f ca="1">BZ23</f>
        <v>D</v>
      </c>
      <c r="BX25" s="157" t="str">
        <f t="shared" ref="BX25:BX27" ca="1" si="38">VLOOKUP(BW25,$CB$18:$CC$21,2)</f>
        <v>Tschechien</v>
      </c>
    </row>
    <row r="26" spans="1:81" ht="18.75" customHeight="1" x14ac:dyDescent="0.25">
      <c r="A26" s="133">
        <v>26</v>
      </c>
      <c r="B26" s="134">
        <v>3</v>
      </c>
      <c r="C26" s="134" t="str">
        <f t="shared" si="8"/>
        <v>A</v>
      </c>
      <c r="D26" s="135">
        <v>44367.75</v>
      </c>
      <c r="E26" s="3" t="s">
        <v>164</v>
      </c>
      <c r="F26" s="1" t="str">
        <f>VLOOKUP(E26,helper!$D$2:$E$12,2)</f>
        <v>Stadio Olimpico</v>
      </c>
      <c r="G26" s="131" t="s">
        <v>63</v>
      </c>
      <c r="H26" s="132" t="str">
        <f>VLOOKUP(G26,helper!$K$2:$L$25,2)</f>
        <v>Italien</v>
      </c>
      <c r="I26" s="156">
        <v>1</v>
      </c>
      <c r="J26" s="154" t="s">
        <v>8</v>
      </c>
      <c r="K26" s="156">
        <v>0</v>
      </c>
      <c r="L26" s="155" t="str">
        <f>VLOOKUP(M26,helper!$K$2:$L$25,2)</f>
        <v>Wales</v>
      </c>
      <c r="M26" s="155" t="s">
        <v>53</v>
      </c>
      <c r="N26" s="84"/>
      <c r="O26" s="6" t="str">
        <f>VLOOKUP(G26,helper!$K$2:$M$25,3)</f>
        <v>A2</v>
      </c>
      <c r="P26" s="6">
        <f t="shared" si="9"/>
        <v>1</v>
      </c>
      <c r="Q26" s="6">
        <f t="shared" si="10"/>
        <v>1</v>
      </c>
      <c r="R26" s="6">
        <f t="shared" si="11"/>
        <v>0</v>
      </c>
      <c r="S26" s="6">
        <f t="shared" si="12"/>
        <v>0</v>
      </c>
      <c r="T26" s="6">
        <f t="shared" si="13"/>
        <v>1</v>
      </c>
      <c r="U26" s="6">
        <f t="shared" si="14"/>
        <v>0</v>
      </c>
      <c r="V26" s="7" t="str">
        <f>VLOOKUP(M26,helper!$K$2:$M$25,3)</f>
        <v>A3</v>
      </c>
      <c r="W26" s="6">
        <f t="shared" si="15"/>
        <v>1</v>
      </c>
      <c r="X26" s="6">
        <f t="shared" si="16"/>
        <v>0</v>
      </c>
      <c r="Y26" s="6">
        <f t="shared" si="17"/>
        <v>0</v>
      </c>
      <c r="Z26" s="6">
        <f t="shared" si="18"/>
        <v>1</v>
      </c>
      <c r="AA26" s="6">
        <f t="shared" si="19"/>
        <v>0</v>
      </c>
      <c r="AB26" s="6">
        <f t="shared" si="20"/>
        <v>1</v>
      </c>
      <c r="AC26" s="6"/>
      <c r="AE26" s="7"/>
      <c r="AF26" s="7"/>
      <c r="AG26" s="7"/>
      <c r="AJ26" s="4"/>
      <c r="AK26" s="6" t="str">
        <f t="shared" ref="AK26:AK31" ca="1" si="39">LEFT(AL26,1)</f>
        <v>A</v>
      </c>
      <c r="AL26" s="6" t="str">
        <f ca="1">AP3</f>
        <v>A4</v>
      </c>
      <c r="AM26" s="85">
        <f ca="1">INT((VLOOKUP(AL26,$AD$1:$AM$24,10)-VLOOKUP(AL26,'tie breaker'!E3:F26,2)*10000)/10)+'tie breaker'!O3*1000</f>
        <v>404904</v>
      </c>
      <c r="AN26" s="6">
        <f ca="1">_xlfn.RANK.EQ(AM26,$AM$26:$AM$31)</f>
        <v>3</v>
      </c>
      <c r="AO26" s="6">
        <f ca="1">IF(ISNA(MATCH(ROW()-25,$AN$26:$AN$31,0)),AO25+1,MATCH(ROW()-25,$AN$26:$AN$31,0))</f>
        <v>6</v>
      </c>
      <c r="AP26" s="85" t="str">
        <f t="shared" ref="AP26:AP31" ca="1" si="40">INDEX($AL$26:$AL$31,AO26)</f>
        <v>F2</v>
      </c>
      <c r="AQ26" s="85" t="str">
        <f t="shared" ref="AQ26:AQ31" ca="1" si="41">IF(AN26&lt;5,AL26,"")</f>
        <v>A4</v>
      </c>
      <c r="AS26" s="21" t="str">
        <f ca="1">AP9</f>
        <v>C1</v>
      </c>
      <c r="AT26" s="24" t="str">
        <f ca="1">VLOOKUP(AS26,helper!$G$2:$I$25,2)&amp;IF(SUM(AU$26:AU$29)=12,"",helper!$U$2)</f>
        <v>Niederlande</v>
      </c>
      <c r="AU26" s="74">
        <f ca="1">VLOOKUP($AS26,$AD$1:$AL$24,2)</f>
        <v>3</v>
      </c>
      <c r="AV26" s="74">
        <f ca="1">VLOOKUP($AS26,$AD$1:$AL$24,3)</f>
        <v>3</v>
      </c>
      <c r="AW26" s="74">
        <f ca="1">VLOOKUP($AS26,$AD$1:$AL$24,4)</f>
        <v>0</v>
      </c>
      <c r="AX26" s="74">
        <f ca="1">VLOOKUP($AS26,$AD$1:$AL$24,5)</f>
        <v>0</v>
      </c>
      <c r="AY26" s="88"/>
      <c r="AZ26" s="74">
        <f ca="1">VLOOKUP($AS26,$AD$1:$AL$24,6)</f>
        <v>8</v>
      </c>
      <c r="BA26" s="74" t="s">
        <v>8</v>
      </c>
      <c r="BB26" s="74">
        <f ca="1">VLOOKUP($AS26,$AD$1:$AL$24,7)</f>
        <v>2</v>
      </c>
      <c r="BC26" s="88"/>
      <c r="BD26" s="75">
        <f ca="1">VLOOKUP($AS26,$AD$1:$AL$24,8)</f>
        <v>6</v>
      </c>
      <c r="BE26" s="91"/>
      <c r="BF26" s="76">
        <f ca="1">VLOOKUP($AS26,$AD$1:$AL$24,9)</f>
        <v>9</v>
      </c>
      <c r="BH26" s="21" t="str">
        <f ca="1">AP13</f>
        <v>D1</v>
      </c>
      <c r="BI26" s="24" t="str">
        <f ca="1">VLOOKUP(BH26,helper!$G$2:$I$25,2)&amp;IF(SUM(BJ$26:BJ$29)=12,"",helper!$U$2)</f>
        <v>England</v>
      </c>
      <c r="BJ26" s="74">
        <f ca="1">VLOOKUP($BH26,$AD$1:$AL$24,2)</f>
        <v>3</v>
      </c>
      <c r="BK26" s="74">
        <f ca="1">VLOOKUP($BH26,$AD$1:$AL$24,3)</f>
        <v>2</v>
      </c>
      <c r="BL26" s="74">
        <f ca="1">VLOOKUP($BH26,$AD$1:$AL$24,4)</f>
        <v>1</v>
      </c>
      <c r="BM26" s="74">
        <f ca="1">VLOOKUP($BH26,$AD$1:$AL$24,5)</f>
        <v>0</v>
      </c>
      <c r="BN26" s="88"/>
      <c r="BO26" s="74">
        <f ca="1">VLOOKUP($BH26,$AD$1:$AL$24,6)</f>
        <v>2</v>
      </c>
      <c r="BP26" s="74" t="s">
        <v>8</v>
      </c>
      <c r="BQ26" s="74">
        <f ca="1">VLOOKUP($BH26,$AD$1:$AL$24,7)</f>
        <v>0</v>
      </c>
      <c r="BR26" s="88"/>
      <c r="BS26" s="75">
        <f ca="1">VLOOKUP($BH26,$AD$1:$AL$24,8)</f>
        <v>2</v>
      </c>
      <c r="BT26" s="91"/>
      <c r="BU26" s="76">
        <f ca="1">VLOOKUP($BH26,$AD$1:$AL$24,9)</f>
        <v>7</v>
      </c>
      <c r="BW26" s="157" t="str">
        <f ca="1">CA23</f>
        <v>C</v>
      </c>
      <c r="BX26" s="157" t="str">
        <f t="shared" ca="1" si="38"/>
        <v>Ukraine</v>
      </c>
    </row>
    <row r="27" spans="1:81" ht="18.75" x14ac:dyDescent="0.25">
      <c r="A27" s="133">
        <v>27</v>
      </c>
      <c r="B27" s="134">
        <v>3</v>
      </c>
      <c r="C27" s="134" t="str">
        <f t="shared" si="8"/>
        <v>C</v>
      </c>
      <c r="D27" s="135">
        <v>44368.75</v>
      </c>
      <c r="E27" s="3" t="s">
        <v>168</v>
      </c>
      <c r="F27" s="1" t="str">
        <f>VLOOKUP(E27,helper!$D$2:$E$12,2)</f>
        <v>Johan Cruijff ArenA</v>
      </c>
      <c r="G27" s="131" t="s">
        <v>181</v>
      </c>
      <c r="H27" s="132" t="str">
        <f>VLOOKUP(G27,helper!$K$2:$L$25,2)</f>
        <v>Nordmazedonien</v>
      </c>
      <c r="I27" s="156">
        <v>0</v>
      </c>
      <c r="J27" s="154" t="s">
        <v>8</v>
      </c>
      <c r="K27" s="156">
        <v>3</v>
      </c>
      <c r="L27" s="155" t="str">
        <f>VLOOKUP(M27,helper!$K$2:$L$25,2)</f>
        <v>Niederlande</v>
      </c>
      <c r="M27" s="155" t="s">
        <v>180</v>
      </c>
      <c r="N27" s="84"/>
      <c r="O27" s="6" t="str">
        <f>VLOOKUP(G27,helper!$K$2:$M$25,3)</f>
        <v>C4</v>
      </c>
      <c r="P27" s="6">
        <f t="shared" si="9"/>
        <v>1</v>
      </c>
      <c r="Q27" s="6">
        <f t="shared" si="10"/>
        <v>0</v>
      </c>
      <c r="R27" s="6">
        <f t="shared" si="11"/>
        <v>0</v>
      </c>
      <c r="S27" s="6">
        <f t="shared" si="12"/>
        <v>1</v>
      </c>
      <c r="T27" s="6">
        <f t="shared" si="13"/>
        <v>0</v>
      </c>
      <c r="U27" s="6">
        <f t="shared" si="14"/>
        <v>3</v>
      </c>
      <c r="V27" s="7" t="str">
        <f>VLOOKUP(M27,helper!$K$2:$M$25,3)</f>
        <v>C1</v>
      </c>
      <c r="W27" s="6">
        <f t="shared" si="15"/>
        <v>1</v>
      </c>
      <c r="X27" s="6">
        <f t="shared" si="16"/>
        <v>1</v>
      </c>
      <c r="Y27" s="6">
        <f t="shared" si="17"/>
        <v>0</v>
      </c>
      <c r="Z27" s="6">
        <f t="shared" si="18"/>
        <v>0</v>
      </c>
      <c r="AA27" s="6">
        <f t="shared" si="19"/>
        <v>3</v>
      </c>
      <c r="AB27" s="6">
        <f t="shared" si="20"/>
        <v>0</v>
      </c>
      <c r="AC27" s="6"/>
      <c r="AE27" s="7"/>
      <c r="AF27" s="7"/>
      <c r="AG27" s="7"/>
      <c r="AJ27" s="4"/>
      <c r="AK27" s="6" t="str">
        <f t="shared" ca="1" si="39"/>
        <v>B</v>
      </c>
      <c r="AL27" s="6" t="str">
        <f ca="1">AP7</f>
        <v>B2</v>
      </c>
      <c r="AM27" s="85">
        <f ca="1">INT((VLOOKUP(AL27,$AD$1:$AM$24,10)-VLOOKUP(AL27,'tie breaker'!E4:F27,2)*10000)/10)+'tie breaker'!O4*1000</f>
        <v>304801</v>
      </c>
      <c r="AN27" s="6">
        <f t="shared" ref="AN27:AN31" ca="1" si="42">_xlfn.RANK.EQ(AM27,$AM$26:$AM$31)</f>
        <v>5</v>
      </c>
      <c r="AO27" s="6">
        <f t="shared" ref="AO27:AO31" ca="1" si="43">IF(ISNA(MATCH(ROW()-25,$AN$26:$AN$31,0)),AO26+1,MATCH(ROW()-25,$AN$26:$AN$31,0))</f>
        <v>4</v>
      </c>
      <c r="AP27" s="85" t="str">
        <f t="shared" ca="1" si="40"/>
        <v>D4</v>
      </c>
      <c r="AQ27" s="85" t="str">
        <f t="shared" ca="1" si="41"/>
        <v/>
      </c>
      <c r="AS27" s="21" t="str">
        <f ca="1">AP10</f>
        <v>C3</v>
      </c>
      <c r="AT27" s="24" t="str">
        <f ca="1">VLOOKUP(AS27,helper!$G$2:$I$25,2)&amp;IF(SUM(AU$26:AU$29)=12,"",helper!$U$2)</f>
        <v>&gt; Österreich</v>
      </c>
      <c r="AU27" s="74">
        <f ca="1">VLOOKUP($AS27,$AD$1:$AL$24,2)</f>
        <v>3</v>
      </c>
      <c r="AV27" s="74">
        <f ca="1">VLOOKUP($AS27,$AD$1:$AL$24,3)</f>
        <v>2</v>
      </c>
      <c r="AW27" s="74">
        <f ca="1">VLOOKUP($AS27,$AD$1:$AL$24,4)</f>
        <v>0</v>
      </c>
      <c r="AX27" s="74">
        <f ca="1">VLOOKUP($AS27,$AD$1:$AL$24,5)</f>
        <v>1</v>
      </c>
      <c r="AY27" s="88"/>
      <c r="AZ27" s="74">
        <f ca="1">VLOOKUP($AS27,$AD$1:$AL$24,6)</f>
        <v>4</v>
      </c>
      <c r="BA27" s="74" t="s">
        <v>8</v>
      </c>
      <c r="BB27" s="74">
        <f ca="1">VLOOKUP($AS27,$AD$1:$AL$24,7)</f>
        <v>3</v>
      </c>
      <c r="BC27" s="88"/>
      <c r="BD27" s="75">
        <f ca="1">VLOOKUP($AS27,$AD$1:$AL$24,8)</f>
        <v>1</v>
      </c>
      <c r="BE27" s="91"/>
      <c r="BF27" s="76">
        <f ca="1">VLOOKUP($AS27,$AD$1:$AL$24,9)</f>
        <v>6</v>
      </c>
      <c r="BH27" s="21" t="str">
        <f ca="1">AP14</f>
        <v>D2</v>
      </c>
      <c r="BI27" s="24" t="str">
        <f ca="1">VLOOKUP(BH27,helper!$G$2:$I$25,2)&amp;IF(SUM(BJ$26:BJ$29)=12,"",helper!$U$2)</f>
        <v>Kroatien</v>
      </c>
      <c r="BJ27" s="74">
        <f ca="1">VLOOKUP($BH27,$AD$1:$AL$24,2)</f>
        <v>3</v>
      </c>
      <c r="BK27" s="74">
        <f ca="1">VLOOKUP($BH27,$AD$1:$AL$24,3)</f>
        <v>1</v>
      </c>
      <c r="BL27" s="74">
        <f ca="1">VLOOKUP($BH27,$AD$1:$AL$24,4)</f>
        <v>1</v>
      </c>
      <c r="BM27" s="74">
        <f ca="1">VLOOKUP($BH27,$AD$1:$AL$24,5)</f>
        <v>1</v>
      </c>
      <c r="BN27" s="88"/>
      <c r="BO27" s="74">
        <f ca="1">VLOOKUP($BH27,$AD$1:$AL$24,6)</f>
        <v>4</v>
      </c>
      <c r="BP27" s="74" t="s">
        <v>8</v>
      </c>
      <c r="BQ27" s="74">
        <f ca="1">VLOOKUP($BH27,$AD$1:$AL$24,7)</f>
        <v>3</v>
      </c>
      <c r="BR27" s="88"/>
      <c r="BS27" s="75">
        <f ca="1">VLOOKUP($BH27,$AD$1:$AL$24,8)</f>
        <v>1</v>
      </c>
      <c r="BT27" s="91"/>
      <c r="BU27" s="76">
        <f ca="1">VLOOKUP($BH27,$AD$1:$AL$24,9)</f>
        <v>4</v>
      </c>
      <c r="BW27" s="157" t="str">
        <f ca="1">CB23</f>
        <v>A</v>
      </c>
      <c r="BX27" s="157" t="str">
        <f t="shared" ca="1" si="38"/>
        <v>Schweiz</v>
      </c>
    </row>
    <row r="28" spans="1:81" ht="18.75" x14ac:dyDescent="0.25">
      <c r="A28" s="133">
        <v>28</v>
      </c>
      <c r="B28" s="134">
        <v>3</v>
      </c>
      <c r="C28" s="134" t="str">
        <f t="shared" si="8"/>
        <v>C</v>
      </c>
      <c r="D28" s="135">
        <v>44368.75</v>
      </c>
      <c r="E28" s="3" t="s">
        <v>170</v>
      </c>
      <c r="F28" s="1" t="str">
        <f>VLOOKUP(E28,helper!$D$2:$E$12,2)</f>
        <v>Arena Națională</v>
      </c>
      <c r="G28" s="131" t="s">
        <v>56</v>
      </c>
      <c r="H28" s="132" t="str">
        <f>VLOOKUP(G28,helper!$K$2:$L$25,2)</f>
        <v>Ukraine</v>
      </c>
      <c r="I28" s="156">
        <v>0</v>
      </c>
      <c r="J28" s="154" t="s">
        <v>8</v>
      </c>
      <c r="K28" s="156">
        <v>1</v>
      </c>
      <c r="L28" s="155" t="str">
        <f>VLOOKUP(M28,helper!$K$2:$L$25,2)</f>
        <v>&gt; Österreich</v>
      </c>
      <c r="M28" s="155" t="s">
        <v>66</v>
      </c>
      <c r="N28" s="84"/>
      <c r="O28" s="6" t="str">
        <f>VLOOKUP(G28,helper!$K$2:$M$25,3)</f>
        <v>C2</v>
      </c>
      <c r="P28" s="6">
        <f t="shared" si="9"/>
        <v>1</v>
      </c>
      <c r="Q28" s="6">
        <f t="shared" si="10"/>
        <v>0</v>
      </c>
      <c r="R28" s="6">
        <f t="shared" si="11"/>
        <v>0</v>
      </c>
      <c r="S28" s="6">
        <f t="shared" si="12"/>
        <v>1</v>
      </c>
      <c r="T28" s="6">
        <f t="shared" si="13"/>
        <v>0</v>
      </c>
      <c r="U28" s="6">
        <f t="shared" si="14"/>
        <v>1</v>
      </c>
      <c r="V28" s="7" t="str">
        <f>VLOOKUP(M28,helper!$K$2:$M$25,3)</f>
        <v>C3</v>
      </c>
      <c r="W28" s="6">
        <f t="shared" si="15"/>
        <v>1</v>
      </c>
      <c r="X28" s="6">
        <f t="shared" si="16"/>
        <v>1</v>
      </c>
      <c r="Y28" s="6">
        <f t="shared" si="17"/>
        <v>0</v>
      </c>
      <c r="Z28" s="6">
        <f t="shared" si="18"/>
        <v>0</v>
      </c>
      <c r="AA28" s="6">
        <f t="shared" si="19"/>
        <v>1</v>
      </c>
      <c r="AB28" s="6">
        <f t="shared" si="20"/>
        <v>0</v>
      </c>
      <c r="AC28" s="6"/>
      <c r="AE28" s="7"/>
      <c r="AF28" s="7"/>
      <c r="AG28" s="7"/>
      <c r="AJ28" s="4"/>
      <c r="AK28" s="6" t="str">
        <f t="shared" ca="1" si="39"/>
        <v>C</v>
      </c>
      <c r="AL28" s="6" t="str">
        <f ca="1">AP11</f>
        <v>C2</v>
      </c>
      <c r="AM28" s="85">
        <f ca="1">INT((VLOOKUP(AL28,$AD$1:$AM$24,10)-VLOOKUP(AL28,'tie breaker'!E5:F28,2)*10000)/10)+'tie breaker'!O5*1000</f>
        <v>304904</v>
      </c>
      <c r="AN28" s="6">
        <f t="shared" ca="1" si="42"/>
        <v>4</v>
      </c>
      <c r="AO28" s="6">
        <f t="shared" ca="1" si="43"/>
        <v>1</v>
      </c>
      <c r="AP28" s="85" t="str">
        <f t="shared" ca="1" si="40"/>
        <v>A4</v>
      </c>
      <c r="AQ28" s="85" t="str">
        <f t="shared" ca="1" si="41"/>
        <v>C2</v>
      </c>
      <c r="AS28" s="22" t="str">
        <f ca="1">AP11</f>
        <v>C2</v>
      </c>
      <c r="AT28" s="32" t="str">
        <f ca="1">VLOOKUP(AS28,helper!$G$2:$I$25,2)&amp;IF(SUM(AU$26:AU$29)=12,"",helper!$U$2)</f>
        <v>Ukraine</v>
      </c>
      <c r="AU28" s="72">
        <f ca="1">VLOOKUP($AS28,$AD$1:$AL$24,2)</f>
        <v>3</v>
      </c>
      <c r="AV28" s="72">
        <f ca="1">VLOOKUP($AS28,$AD$1:$AL$24,3)</f>
        <v>1</v>
      </c>
      <c r="AW28" s="72">
        <f ca="1">VLOOKUP($AS28,$AD$1:$AL$24,4)</f>
        <v>0</v>
      </c>
      <c r="AX28" s="72">
        <f ca="1">VLOOKUP($AS28,$AD$1:$AL$24,5)</f>
        <v>2</v>
      </c>
      <c r="AY28" s="89"/>
      <c r="AZ28" s="72">
        <f ca="1">VLOOKUP($AS28,$AD$1:$AL$24,6)</f>
        <v>4</v>
      </c>
      <c r="BA28" s="72" t="s">
        <v>8</v>
      </c>
      <c r="BB28" s="72">
        <f ca="1">VLOOKUP($AS28,$AD$1:$AL$24,7)</f>
        <v>5</v>
      </c>
      <c r="BC28" s="89"/>
      <c r="BD28" s="73">
        <f ca="1">VLOOKUP($AS28,$AD$1:$AL$24,8)</f>
        <v>-1</v>
      </c>
      <c r="BE28" s="92"/>
      <c r="BF28" s="86">
        <f ca="1">VLOOKUP($AS28,$AD$1:$AL$24,9)</f>
        <v>3</v>
      </c>
      <c r="BH28" s="22" t="str">
        <f ca="1">AP15</f>
        <v>D4</v>
      </c>
      <c r="BI28" s="32" t="str">
        <f ca="1">VLOOKUP(BH28,helper!$G$2:$I$25,2)&amp;IF(SUM(BJ$26:BJ$29)=12,"",helper!$U$2)</f>
        <v>Tschechien</v>
      </c>
      <c r="BJ28" s="72">
        <f ca="1">VLOOKUP($BH28,$AD$1:$AL$24,2)</f>
        <v>3</v>
      </c>
      <c r="BK28" s="72">
        <f ca="1">VLOOKUP($BH28,$AD$1:$AL$24,3)</f>
        <v>1</v>
      </c>
      <c r="BL28" s="72">
        <f ca="1">VLOOKUP($BH28,$AD$1:$AL$24,4)</f>
        <v>1</v>
      </c>
      <c r="BM28" s="72">
        <f ca="1">VLOOKUP($BH28,$AD$1:$AL$24,5)</f>
        <v>1</v>
      </c>
      <c r="BN28" s="89"/>
      <c r="BO28" s="72">
        <f ca="1">VLOOKUP($BH28,$AD$1:$AL$24,6)</f>
        <v>3</v>
      </c>
      <c r="BP28" s="72" t="s">
        <v>8</v>
      </c>
      <c r="BQ28" s="72">
        <f ca="1">VLOOKUP($BH28,$AD$1:$AL$24,7)</f>
        <v>2</v>
      </c>
      <c r="BR28" s="89"/>
      <c r="BS28" s="73">
        <f ca="1">VLOOKUP($BH28,$AD$1:$AL$24,8)</f>
        <v>1</v>
      </c>
      <c r="BT28" s="92"/>
      <c r="BU28" s="86">
        <f ca="1">VLOOKUP($BH28,$AD$1:$AL$24,9)</f>
        <v>4</v>
      </c>
    </row>
    <row r="29" spans="1:81" ht="19.5" thickBot="1" x14ac:dyDescent="0.3">
      <c r="A29" s="133">
        <v>29</v>
      </c>
      <c r="B29" s="134">
        <v>3</v>
      </c>
      <c r="C29" s="134" t="str">
        <f t="shared" si="8"/>
        <v>B</v>
      </c>
      <c r="D29" s="135">
        <v>44368.875</v>
      </c>
      <c r="E29" s="3" t="s">
        <v>166</v>
      </c>
      <c r="F29" s="1" t="str">
        <f>VLOOKUP(E29,helper!$D$2:$E$12,2)</f>
        <v>Parken</v>
      </c>
      <c r="G29" s="131" t="s">
        <v>52</v>
      </c>
      <c r="H29" s="132" t="str">
        <f>VLOOKUP(G29,helper!$K$2:$L$25,2)</f>
        <v>Russland</v>
      </c>
      <c r="I29" s="156">
        <v>1</v>
      </c>
      <c r="J29" s="154" t="s">
        <v>8</v>
      </c>
      <c r="K29" s="156">
        <v>4</v>
      </c>
      <c r="L29" s="155" t="str">
        <f>VLOOKUP(M29,helper!$K$2:$L$25,2)</f>
        <v>Dänemark</v>
      </c>
      <c r="M29" s="155" t="s">
        <v>178</v>
      </c>
      <c r="N29" s="84"/>
      <c r="O29" s="6" t="str">
        <f>VLOOKUP(G29,helper!$K$2:$M$25,3)</f>
        <v>B4</v>
      </c>
      <c r="P29" s="6">
        <f t="shared" si="9"/>
        <v>1</v>
      </c>
      <c r="Q29" s="6">
        <f t="shared" si="10"/>
        <v>0</v>
      </c>
      <c r="R29" s="6">
        <f t="shared" si="11"/>
        <v>0</v>
      </c>
      <c r="S29" s="6">
        <f t="shared" si="12"/>
        <v>1</v>
      </c>
      <c r="T29" s="6">
        <f t="shared" si="13"/>
        <v>1</v>
      </c>
      <c r="U29" s="6">
        <f t="shared" si="14"/>
        <v>4</v>
      </c>
      <c r="V29" s="7" t="str">
        <f>VLOOKUP(M29,helper!$K$2:$M$25,3)</f>
        <v>B1</v>
      </c>
      <c r="W29" s="6">
        <f t="shared" si="15"/>
        <v>1</v>
      </c>
      <c r="X29" s="6">
        <f t="shared" si="16"/>
        <v>1</v>
      </c>
      <c r="Y29" s="6">
        <f t="shared" si="17"/>
        <v>0</v>
      </c>
      <c r="Z29" s="6">
        <f t="shared" si="18"/>
        <v>0</v>
      </c>
      <c r="AA29" s="6">
        <f t="shared" si="19"/>
        <v>4</v>
      </c>
      <c r="AB29" s="6">
        <f t="shared" si="20"/>
        <v>1</v>
      </c>
      <c r="AC29" s="6"/>
      <c r="AE29" s="7"/>
      <c r="AF29" s="7"/>
      <c r="AG29" s="7"/>
      <c r="AJ29" s="4"/>
      <c r="AK29" s="6" t="str">
        <f t="shared" ca="1" si="39"/>
        <v>D</v>
      </c>
      <c r="AL29" s="6" t="str">
        <f ca="1">AP15</f>
        <v>D4</v>
      </c>
      <c r="AM29" s="85">
        <f ca="1">INT((VLOOKUP(AL29,$AD$1:$AM$24,10)-VLOOKUP(AL29,'tie breaker'!E6:F29,2)*10000)/10)+'tie breaker'!O6*1000</f>
        <v>405103</v>
      </c>
      <c r="AN29" s="6">
        <f t="shared" ca="1" si="42"/>
        <v>2</v>
      </c>
      <c r="AO29" s="6">
        <f t="shared" ca="1" si="43"/>
        <v>3</v>
      </c>
      <c r="AP29" s="85" t="str">
        <f t="shared" ca="1" si="40"/>
        <v>C2</v>
      </c>
      <c r="AQ29" s="85" t="str">
        <f t="shared" ca="1" si="41"/>
        <v>D4</v>
      </c>
      <c r="AS29" s="23" t="str">
        <f ca="1">AP12</f>
        <v>C4</v>
      </c>
      <c r="AT29" s="33" t="str">
        <f ca="1">VLOOKUP(AS29,helper!$G$2:$I$25,2)&amp;IF(SUM(AU$26:AU$29)=12,"",helper!$U$2)</f>
        <v>Nordmazedonien</v>
      </c>
      <c r="AU29" s="77">
        <f ca="1">VLOOKUP($AS29,$AD$1:$AL$24,2)</f>
        <v>3</v>
      </c>
      <c r="AV29" s="77">
        <f ca="1">VLOOKUP($AS29,$AD$1:$AL$24,3)</f>
        <v>0</v>
      </c>
      <c r="AW29" s="77">
        <f ca="1">VLOOKUP($AS29,$AD$1:$AL$24,4)</f>
        <v>0</v>
      </c>
      <c r="AX29" s="77">
        <f ca="1">VLOOKUP($AS29,$AD$1:$AL$24,5)</f>
        <v>3</v>
      </c>
      <c r="AY29" s="90"/>
      <c r="AZ29" s="77">
        <f ca="1">VLOOKUP($AS29,$AD$1:$AL$24,6)</f>
        <v>2</v>
      </c>
      <c r="BA29" s="77" t="s">
        <v>8</v>
      </c>
      <c r="BB29" s="77">
        <f ca="1">VLOOKUP($AS29,$AD$1:$AL$24,7)</f>
        <v>8</v>
      </c>
      <c r="BC29" s="90"/>
      <c r="BD29" s="78">
        <f ca="1">VLOOKUP($AS29,$AD$1:$AL$24,8)</f>
        <v>-6</v>
      </c>
      <c r="BE29" s="93"/>
      <c r="BF29" s="87">
        <f ca="1">VLOOKUP($AS29,$AD$1:$AL$24,9)</f>
        <v>0</v>
      </c>
      <c r="BH29" s="23" t="str">
        <f ca="1">AP16</f>
        <v>D3</v>
      </c>
      <c r="BI29" s="33" t="str">
        <f ca="1">VLOOKUP(BH29,helper!$G$2:$I$25,2)&amp;IF(SUM(BJ$26:BJ$29)=12,"",helper!$U$2)</f>
        <v>Schottland</v>
      </c>
      <c r="BJ29" s="77">
        <f ca="1">VLOOKUP($BH29,$AD$1:$AL$24,2)</f>
        <v>3</v>
      </c>
      <c r="BK29" s="77">
        <f ca="1">VLOOKUP($BH29,$AD$1:$AL$24,3)</f>
        <v>0</v>
      </c>
      <c r="BL29" s="77">
        <f ca="1">VLOOKUP($BH29,$AD$1:$AL$24,4)</f>
        <v>1</v>
      </c>
      <c r="BM29" s="77">
        <f ca="1">VLOOKUP($BH29,$AD$1:$AL$24,5)</f>
        <v>2</v>
      </c>
      <c r="BN29" s="90"/>
      <c r="BO29" s="77">
        <f ca="1">VLOOKUP($BH29,$AD$1:$AL$24,6)</f>
        <v>1</v>
      </c>
      <c r="BP29" s="77" t="s">
        <v>8</v>
      </c>
      <c r="BQ29" s="77">
        <f ca="1">VLOOKUP($BH29,$AD$1:$AL$24,7)</f>
        <v>5</v>
      </c>
      <c r="BR29" s="90"/>
      <c r="BS29" s="78">
        <f ca="1">VLOOKUP($BH29,$AD$1:$AL$24,8)</f>
        <v>-4</v>
      </c>
      <c r="BT29" s="93"/>
      <c r="BU29" s="87">
        <f ca="1">VLOOKUP($BH29,$AD$1:$AL$24,9)</f>
        <v>1</v>
      </c>
    </row>
    <row r="30" spans="1:81" ht="19.5" thickBot="1" x14ac:dyDescent="0.3">
      <c r="A30" s="133">
        <v>30</v>
      </c>
      <c r="B30" s="134">
        <v>3</v>
      </c>
      <c r="C30" s="134" t="str">
        <f t="shared" si="8"/>
        <v>B</v>
      </c>
      <c r="D30" s="135">
        <v>44368.875</v>
      </c>
      <c r="E30" s="3" t="s">
        <v>193</v>
      </c>
      <c r="F30" s="1" t="str">
        <f>VLOOKUP(E30,helper!$D$2:$E$12,2)</f>
        <v>Krestowski-Stadion</v>
      </c>
      <c r="G30" s="131" t="s">
        <v>179</v>
      </c>
      <c r="H30" s="132" t="str">
        <f>VLOOKUP(G30,helper!$K$2:$L$25,2)</f>
        <v>Finnland</v>
      </c>
      <c r="I30" s="156">
        <v>0</v>
      </c>
      <c r="J30" s="154" t="s">
        <v>8</v>
      </c>
      <c r="K30" s="156">
        <v>2</v>
      </c>
      <c r="L30" s="155" t="str">
        <f>VLOOKUP(M30,helper!$K$2:$L$25,2)</f>
        <v>Belgien</v>
      </c>
      <c r="M30" s="155" t="s">
        <v>62</v>
      </c>
      <c r="N30" s="84"/>
      <c r="O30" s="6" t="str">
        <f>VLOOKUP(G30,helper!$K$2:$M$25,3)</f>
        <v>B2</v>
      </c>
      <c r="P30" s="6">
        <f t="shared" si="9"/>
        <v>1</v>
      </c>
      <c r="Q30" s="6">
        <f t="shared" si="10"/>
        <v>0</v>
      </c>
      <c r="R30" s="6">
        <f t="shared" si="11"/>
        <v>0</v>
      </c>
      <c r="S30" s="6">
        <f t="shared" si="12"/>
        <v>1</v>
      </c>
      <c r="T30" s="6">
        <f t="shared" si="13"/>
        <v>0</v>
      </c>
      <c r="U30" s="6">
        <f t="shared" si="14"/>
        <v>2</v>
      </c>
      <c r="V30" s="7" t="str">
        <f>VLOOKUP(M30,helper!$K$2:$M$25,3)</f>
        <v>B3</v>
      </c>
      <c r="W30" s="6">
        <f t="shared" si="15"/>
        <v>1</v>
      </c>
      <c r="X30" s="6">
        <f t="shared" si="16"/>
        <v>1</v>
      </c>
      <c r="Y30" s="6">
        <f t="shared" si="17"/>
        <v>0</v>
      </c>
      <c r="Z30" s="6">
        <f t="shared" si="18"/>
        <v>0</v>
      </c>
      <c r="AA30" s="6">
        <f t="shared" si="19"/>
        <v>2</v>
      </c>
      <c r="AB30" s="6">
        <f t="shared" si="20"/>
        <v>0</v>
      </c>
      <c r="AC30" s="6"/>
      <c r="AE30" s="7"/>
      <c r="AF30" s="7"/>
      <c r="AG30" s="7"/>
      <c r="AJ30" s="4"/>
      <c r="AK30" s="6" t="str">
        <f t="shared" ca="1" si="39"/>
        <v>E</v>
      </c>
      <c r="AL30" s="6" t="str">
        <f ca="1">AP19</f>
        <v>E4</v>
      </c>
      <c r="AM30" s="85">
        <f ca="1">INT((VLOOKUP(AL30,$AD$1:$AM$24,10)-VLOOKUP(AL30,'tie breaker'!E7:F30,2)*10000)/10)+'tie breaker'!O7*1000</f>
        <v>304502</v>
      </c>
      <c r="AN30" s="6">
        <f t="shared" ca="1" si="42"/>
        <v>6</v>
      </c>
      <c r="AO30" s="6">
        <f t="shared" ca="1" si="43"/>
        <v>2</v>
      </c>
      <c r="AP30" s="85" t="str">
        <f t="shared" ca="1" si="40"/>
        <v>B2</v>
      </c>
      <c r="AQ30" s="85" t="str">
        <f t="shared" ca="1" si="41"/>
        <v/>
      </c>
    </row>
    <row r="31" spans="1:81" ht="18.75" x14ac:dyDescent="0.25">
      <c r="A31" s="133">
        <v>31</v>
      </c>
      <c r="B31" s="134">
        <v>3</v>
      </c>
      <c r="C31" s="134" t="str">
        <f t="shared" si="8"/>
        <v>D</v>
      </c>
      <c r="D31" s="135">
        <v>44369.875</v>
      </c>
      <c r="E31" s="3" t="s">
        <v>165</v>
      </c>
      <c r="F31" s="1" t="str">
        <f>VLOOKUP(E31,helper!$D$2:$E$12,2)</f>
        <v>Hampden Park</v>
      </c>
      <c r="G31" s="131" t="s">
        <v>61</v>
      </c>
      <c r="H31" s="132" t="str">
        <f>VLOOKUP(G31,helper!$K$2:$L$25,2)</f>
        <v>Kroatien</v>
      </c>
      <c r="I31" s="156">
        <v>3</v>
      </c>
      <c r="J31" s="154" t="s">
        <v>8</v>
      </c>
      <c r="K31" s="156">
        <v>1</v>
      </c>
      <c r="L31" s="155" t="str">
        <f>VLOOKUP(M31,helper!$K$2:$L$25,2)</f>
        <v>Schottland</v>
      </c>
      <c r="M31" s="155" t="s">
        <v>182</v>
      </c>
      <c r="N31" s="84"/>
      <c r="O31" s="6" t="str">
        <f>VLOOKUP(G31,helper!$K$2:$M$25,3)</f>
        <v>D2</v>
      </c>
      <c r="P31" s="6">
        <f t="shared" si="9"/>
        <v>1</v>
      </c>
      <c r="Q31" s="6">
        <f t="shared" si="10"/>
        <v>1</v>
      </c>
      <c r="R31" s="6">
        <f t="shared" si="11"/>
        <v>0</v>
      </c>
      <c r="S31" s="6">
        <f t="shared" si="12"/>
        <v>0</v>
      </c>
      <c r="T31" s="6">
        <f t="shared" si="13"/>
        <v>3</v>
      </c>
      <c r="U31" s="6">
        <f t="shared" si="14"/>
        <v>1</v>
      </c>
      <c r="V31" s="7" t="str">
        <f>VLOOKUP(M31,helper!$K$2:$M$25,3)</f>
        <v>D3</v>
      </c>
      <c r="W31" s="6">
        <f t="shared" si="15"/>
        <v>1</v>
      </c>
      <c r="X31" s="6">
        <f t="shared" si="16"/>
        <v>0</v>
      </c>
      <c r="Y31" s="6">
        <f t="shared" si="17"/>
        <v>0</v>
      </c>
      <c r="Z31" s="6">
        <f t="shared" si="18"/>
        <v>1</v>
      </c>
      <c r="AA31" s="6">
        <f t="shared" si="19"/>
        <v>1</v>
      </c>
      <c r="AB31" s="6">
        <f t="shared" si="20"/>
        <v>3</v>
      </c>
      <c r="AC31" s="6"/>
      <c r="AE31" s="7"/>
      <c r="AF31" s="7"/>
      <c r="AG31" s="7"/>
      <c r="AJ31" s="4"/>
      <c r="AK31" s="6" t="str">
        <f t="shared" ca="1" si="39"/>
        <v>F</v>
      </c>
      <c r="AL31" s="6" t="str">
        <f ca="1">AP23</f>
        <v>F2</v>
      </c>
      <c r="AM31" s="85">
        <f ca="1">INT((VLOOKUP(AL31,$AD$1:$AM$24,10)-VLOOKUP(AL31,'tie breaker'!E8:F31,2)*10000)/10)+'tie breaker'!O8*1000</f>
        <v>405107</v>
      </c>
      <c r="AN31" s="6">
        <f t="shared" ca="1" si="42"/>
        <v>1</v>
      </c>
      <c r="AO31" s="6">
        <f t="shared" ca="1" si="43"/>
        <v>5</v>
      </c>
      <c r="AP31" s="85" t="str">
        <f t="shared" ca="1" si="40"/>
        <v>E4</v>
      </c>
      <c r="AQ31" s="85" t="str">
        <f t="shared" ca="1" si="41"/>
        <v>F2</v>
      </c>
      <c r="AS31" s="161" t="s">
        <v>79</v>
      </c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3"/>
      <c r="BH31" s="161" t="s">
        <v>78</v>
      </c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3"/>
    </row>
    <row r="32" spans="1:81" ht="18.75" x14ac:dyDescent="0.25">
      <c r="A32" s="133">
        <v>32</v>
      </c>
      <c r="B32" s="134">
        <v>3</v>
      </c>
      <c r="C32" s="134" t="str">
        <f t="shared" si="8"/>
        <v>D</v>
      </c>
      <c r="D32" s="135">
        <v>44369.875</v>
      </c>
      <c r="E32" s="3" t="s">
        <v>161</v>
      </c>
      <c r="F32" s="1" t="str">
        <f>VLOOKUP(E32,helper!$D$2:$E$12,2)</f>
        <v>Wembley Stadium</v>
      </c>
      <c r="G32" s="131" t="s">
        <v>59</v>
      </c>
      <c r="H32" s="132" t="str">
        <f>VLOOKUP(G32,helper!$K$2:$L$25,2)</f>
        <v>Tschechien</v>
      </c>
      <c r="I32" s="156">
        <v>0</v>
      </c>
      <c r="J32" s="154" t="s">
        <v>8</v>
      </c>
      <c r="K32" s="156">
        <v>1</v>
      </c>
      <c r="L32" s="155" t="str">
        <f>VLOOKUP(M32,helper!$K$2:$L$25,2)</f>
        <v>England</v>
      </c>
      <c r="M32" s="155" t="s">
        <v>51</v>
      </c>
      <c r="N32" s="84"/>
      <c r="O32" s="6" t="str">
        <f>VLOOKUP(G32,helper!$K$2:$M$25,3)</f>
        <v>D4</v>
      </c>
      <c r="P32" s="6">
        <f t="shared" si="9"/>
        <v>1</v>
      </c>
      <c r="Q32" s="6">
        <f t="shared" si="10"/>
        <v>0</v>
      </c>
      <c r="R32" s="6">
        <f t="shared" si="11"/>
        <v>0</v>
      </c>
      <c r="S32" s="6">
        <f t="shared" si="12"/>
        <v>1</v>
      </c>
      <c r="T32" s="6">
        <f t="shared" si="13"/>
        <v>0</v>
      </c>
      <c r="U32" s="6">
        <f t="shared" si="14"/>
        <v>1</v>
      </c>
      <c r="V32" s="7" t="str">
        <f>VLOOKUP(M32,helper!$K$2:$M$25,3)</f>
        <v>D1</v>
      </c>
      <c r="W32" s="6">
        <f t="shared" si="15"/>
        <v>1</v>
      </c>
      <c r="X32" s="6">
        <f t="shared" si="16"/>
        <v>1</v>
      </c>
      <c r="Y32" s="6">
        <f t="shared" si="17"/>
        <v>0</v>
      </c>
      <c r="Z32" s="6">
        <f t="shared" si="18"/>
        <v>0</v>
      </c>
      <c r="AA32" s="6">
        <f t="shared" si="19"/>
        <v>1</v>
      </c>
      <c r="AB32" s="6">
        <f t="shared" si="20"/>
        <v>0</v>
      </c>
      <c r="AC32" s="6"/>
      <c r="AD32" s="7"/>
      <c r="AE32" s="7"/>
      <c r="AF32" s="7"/>
      <c r="AG32" s="7"/>
      <c r="AH32" s="7"/>
      <c r="AI32" s="7"/>
      <c r="AK32" s="8"/>
      <c r="AL32" s="8"/>
      <c r="AM32" s="8"/>
      <c r="AP32" s="8"/>
      <c r="AQ32" s="8"/>
      <c r="AS32" s="25"/>
      <c r="AT32" s="26"/>
      <c r="AU32" s="70" t="s">
        <v>149</v>
      </c>
      <c r="AV32" s="27" t="s">
        <v>69</v>
      </c>
      <c r="AW32" s="27" t="s">
        <v>70</v>
      </c>
      <c r="AX32" s="27" t="s">
        <v>71</v>
      </c>
      <c r="AY32" s="27"/>
      <c r="AZ32" s="27" t="s">
        <v>73</v>
      </c>
      <c r="BA32" s="27"/>
      <c r="BB32" s="27" t="s">
        <v>74</v>
      </c>
      <c r="BC32" s="27"/>
      <c r="BD32" s="80" t="s">
        <v>150</v>
      </c>
      <c r="BE32" s="27"/>
      <c r="BF32" s="71" t="s">
        <v>72</v>
      </c>
      <c r="BH32" s="25"/>
      <c r="BI32" s="26"/>
      <c r="BJ32" s="70" t="s">
        <v>149</v>
      </c>
      <c r="BK32" s="27" t="s">
        <v>69</v>
      </c>
      <c r="BL32" s="27" t="s">
        <v>70</v>
      </c>
      <c r="BM32" s="27" t="s">
        <v>71</v>
      </c>
      <c r="BN32" s="27"/>
      <c r="BO32" s="27" t="s">
        <v>73</v>
      </c>
      <c r="BP32" s="27"/>
      <c r="BQ32" s="27" t="s">
        <v>74</v>
      </c>
      <c r="BR32" s="27"/>
      <c r="BS32" s="80" t="s">
        <v>150</v>
      </c>
      <c r="BT32" s="27"/>
      <c r="BU32" s="71" t="s">
        <v>72</v>
      </c>
    </row>
    <row r="33" spans="1:73" ht="18.75" x14ac:dyDescent="0.25">
      <c r="A33" s="133">
        <v>33</v>
      </c>
      <c r="B33" s="134">
        <v>3</v>
      </c>
      <c r="C33" s="134" t="str">
        <f t="shared" si="8"/>
        <v>E</v>
      </c>
      <c r="D33" s="135">
        <v>44370.75</v>
      </c>
      <c r="E33" s="3" t="s">
        <v>167</v>
      </c>
      <c r="F33" s="1" t="str">
        <f>VLOOKUP(E33,helper!$D$2:$E$12,2)</f>
        <v>Estadio Olímpico</v>
      </c>
      <c r="G33" s="131" t="s">
        <v>54</v>
      </c>
      <c r="H33" s="132" t="str">
        <f>VLOOKUP(G33,helper!$K$2:$L$25,2)</f>
        <v>Slowakei</v>
      </c>
      <c r="I33" s="156">
        <v>0</v>
      </c>
      <c r="J33" s="154" t="s">
        <v>8</v>
      </c>
      <c r="K33" s="156">
        <v>5</v>
      </c>
      <c r="L33" s="155" t="str">
        <f>VLOOKUP(M33,helper!$K$2:$L$25,2)</f>
        <v>Spanien</v>
      </c>
      <c r="M33" s="155" t="s">
        <v>58</v>
      </c>
      <c r="N33" s="84"/>
      <c r="O33" s="6" t="str">
        <f>VLOOKUP(G33,helper!$K$2:$M$25,3)</f>
        <v>E4</v>
      </c>
      <c r="P33" s="6">
        <f t="shared" si="9"/>
        <v>1</v>
      </c>
      <c r="Q33" s="6">
        <f t="shared" si="10"/>
        <v>0</v>
      </c>
      <c r="R33" s="6">
        <f t="shared" si="11"/>
        <v>0</v>
      </c>
      <c r="S33" s="6">
        <f t="shared" si="12"/>
        <v>1</v>
      </c>
      <c r="T33" s="6">
        <f t="shared" si="13"/>
        <v>0</v>
      </c>
      <c r="U33" s="6">
        <f t="shared" si="14"/>
        <v>5</v>
      </c>
      <c r="V33" s="7" t="str">
        <f>VLOOKUP(M33,helper!$K$2:$M$25,3)</f>
        <v>E1</v>
      </c>
      <c r="W33" s="6">
        <f t="shared" si="15"/>
        <v>1</v>
      </c>
      <c r="X33" s="6">
        <f t="shared" si="16"/>
        <v>1</v>
      </c>
      <c r="Y33" s="6">
        <f t="shared" si="17"/>
        <v>0</v>
      </c>
      <c r="Z33" s="6">
        <f t="shared" si="18"/>
        <v>0</v>
      </c>
      <c r="AA33" s="6">
        <f t="shared" si="19"/>
        <v>5</v>
      </c>
      <c r="AB33" s="6">
        <f t="shared" si="20"/>
        <v>0</v>
      </c>
      <c r="AC33" s="6"/>
      <c r="AD33" s="7"/>
      <c r="AE33" s="7"/>
      <c r="AF33" s="7"/>
      <c r="AG33" s="7"/>
      <c r="AH33" s="7"/>
      <c r="AI33" s="7"/>
      <c r="AK33" s="8"/>
      <c r="AL33" s="8"/>
      <c r="AM33" s="6" t="str">
        <f ca="1">LEFT(AQ26,1)&amp;LEFT(AQ27,1)&amp;LEFT(AQ28,1)&amp;LEFT(AQ29,1)&amp;LEFT(AQ30,1)&amp;LEFT(AQ31,1)</f>
        <v>ACDF</v>
      </c>
      <c r="AO33" s="7"/>
      <c r="AP33" s="8"/>
      <c r="AQ33" s="85">
        <f ca="1">LEN(AM33)</f>
        <v>4</v>
      </c>
      <c r="AS33" s="21" t="str">
        <f ca="1">AP17</f>
        <v>E2</v>
      </c>
      <c r="AT33" s="24" t="str">
        <f ca="1">VLOOKUP(AS33,helper!$G$2:$I$25,2)&amp;IF(SUM(AU$33:AU$36)=12,"",helper!$U$2)</f>
        <v>Schweden</v>
      </c>
      <c r="AU33" s="74">
        <f ca="1">VLOOKUP($AS33,$AD$1:$AL$24,2)</f>
        <v>3</v>
      </c>
      <c r="AV33" s="74">
        <f ca="1">VLOOKUP($AS33,$AD$1:$AL$24,3)</f>
        <v>2</v>
      </c>
      <c r="AW33" s="74">
        <f ca="1">VLOOKUP($AS33,$AD$1:$AL$24,4)</f>
        <v>1</v>
      </c>
      <c r="AX33" s="74">
        <f ca="1">VLOOKUP($AS33,$AD$1:$AL$24,5)</f>
        <v>0</v>
      </c>
      <c r="AY33" s="88"/>
      <c r="AZ33" s="74">
        <f ca="1">VLOOKUP($AS33,$AD$1:$AL$24,6)</f>
        <v>4</v>
      </c>
      <c r="BA33" s="74" t="s">
        <v>8</v>
      </c>
      <c r="BB33" s="74">
        <f ca="1">VLOOKUP($AS33,$AD$1:$AL$24,7)</f>
        <v>2</v>
      </c>
      <c r="BC33" s="88"/>
      <c r="BD33" s="75">
        <f ca="1">VLOOKUP($AS33,$AD$1:$AL$24,8)</f>
        <v>2</v>
      </c>
      <c r="BE33" s="91"/>
      <c r="BF33" s="76">
        <f ca="1">VLOOKUP($AS33,$AD$1:$AL$24,9)</f>
        <v>7</v>
      </c>
      <c r="BH33" s="21" t="str">
        <f ca="1">AP21</f>
        <v>F3</v>
      </c>
      <c r="BI33" s="24" t="str">
        <f ca="1">VLOOKUP(BH33,helper!$G$2:$I$25,2)&amp;IF(SUM(BJ$33:BJ$36)=12,"",helper!$U$2)</f>
        <v>Frankreich</v>
      </c>
      <c r="BJ33" s="74">
        <f ca="1">VLOOKUP($BH33,$AD$1:$AL$24,2)</f>
        <v>3</v>
      </c>
      <c r="BK33" s="74">
        <f ca="1">VLOOKUP($BH33,$AD$1:$AL$24,3)</f>
        <v>1</v>
      </c>
      <c r="BL33" s="74">
        <f ca="1">VLOOKUP($BH33,$AD$1:$AL$24,4)</f>
        <v>2</v>
      </c>
      <c r="BM33" s="74">
        <f ca="1">VLOOKUP($BH33,$AD$1:$AL$24,5)</f>
        <v>0</v>
      </c>
      <c r="BN33" s="88"/>
      <c r="BO33" s="74">
        <f ca="1">VLOOKUP($BH33,$AD$1:$AL$24,6)</f>
        <v>4</v>
      </c>
      <c r="BP33" s="74" t="s">
        <v>8</v>
      </c>
      <c r="BQ33" s="74">
        <f ca="1">VLOOKUP($BH33,$AD$1:$AL$24,7)</f>
        <v>3</v>
      </c>
      <c r="BR33" s="88"/>
      <c r="BS33" s="75">
        <f ca="1">VLOOKUP($BH33,$AD$1:$AL$24,8)</f>
        <v>1</v>
      </c>
      <c r="BT33" s="91"/>
      <c r="BU33" s="76">
        <f ca="1">VLOOKUP($BH33,$AD$1:$AL$24,9)</f>
        <v>5</v>
      </c>
    </row>
    <row r="34" spans="1:73" ht="18.75" x14ac:dyDescent="0.25">
      <c r="A34" s="133">
        <v>34</v>
      </c>
      <c r="B34" s="134">
        <v>3</v>
      </c>
      <c r="C34" s="134" t="str">
        <f t="shared" si="8"/>
        <v>E</v>
      </c>
      <c r="D34" s="135">
        <v>44370.75</v>
      </c>
      <c r="E34" s="3" t="s">
        <v>193</v>
      </c>
      <c r="F34" s="1" t="str">
        <f>VLOOKUP(E34,helper!$D$2:$E$12,2)</f>
        <v>Krestowski-Stadion</v>
      </c>
      <c r="G34" s="131" t="s">
        <v>64</v>
      </c>
      <c r="H34" s="132" t="str">
        <f>VLOOKUP(G34,helper!$K$2:$L$25,2)</f>
        <v>Schweden</v>
      </c>
      <c r="I34" s="156">
        <v>3</v>
      </c>
      <c r="J34" s="154" t="s">
        <v>8</v>
      </c>
      <c r="K34" s="156">
        <v>2</v>
      </c>
      <c r="L34" s="155" t="str">
        <f>VLOOKUP(M34,helper!$K$2:$L$25,2)</f>
        <v>Polen</v>
      </c>
      <c r="M34" s="155" t="s">
        <v>57</v>
      </c>
      <c r="N34" s="84"/>
      <c r="O34" s="6" t="str">
        <f>VLOOKUP(G34,helper!$K$2:$M$25,3)</f>
        <v>E2</v>
      </c>
      <c r="P34" s="6">
        <f t="shared" si="9"/>
        <v>1</v>
      </c>
      <c r="Q34" s="6">
        <f t="shared" si="10"/>
        <v>1</v>
      </c>
      <c r="R34" s="6">
        <f t="shared" si="11"/>
        <v>0</v>
      </c>
      <c r="S34" s="6">
        <f t="shared" si="12"/>
        <v>0</v>
      </c>
      <c r="T34" s="6">
        <f t="shared" si="13"/>
        <v>3</v>
      </c>
      <c r="U34" s="6">
        <f t="shared" si="14"/>
        <v>2</v>
      </c>
      <c r="V34" s="7" t="str">
        <f>VLOOKUP(M34,helper!$K$2:$M$25,3)</f>
        <v>E3</v>
      </c>
      <c r="W34" s="6">
        <f t="shared" si="15"/>
        <v>1</v>
      </c>
      <c r="X34" s="6">
        <f t="shared" si="16"/>
        <v>0</v>
      </c>
      <c r="Y34" s="6">
        <f t="shared" si="17"/>
        <v>0</v>
      </c>
      <c r="Z34" s="6">
        <f t="shared" si="18"/>
        <v>1</v>
      </c>
      <c r="AA34" s="6">
        <f t="shared" si="19"/>
        <v>2</v>
      </c>
      <c r="AB34" s="6">
        <f t="shared" si="20"/>
        <v>3</v>
      </c>
      <c r="AC34" s="6"/>
      <c r="AD34" s="7"/>
      <c r="AE34" s="7"/>
      <c r="AF34" s="7"/>
      <c r="AG34" s="7"/>
      <c r="AH34" s="7"/>
      <c r="AI34" s="7"/>
      <c r="AK34" s="8"/>
      <c r="AL34" s="8"/>
      <c r="AM34" s="8"/>
      <c r="AP34" s="8"/>
      <c r="AQ34" s="8"/>
      <c r="AS34" s="21" t="str">
        <f ca="1">AP18</f>
        <v>E1</v>
      </c>
      <c r="AT34" s="24" t="str">
        <f ca="1">VLOOKUP(AS34,helper!$G$2:$I$25,2)&amp;IF(SUM(AU$33:AU$36)=12,"",helper!$U$2)</f>
        <v>Spanien</v>
      </c>
      <c r="AU34" s="74">
        <f ca="1">VLOOKUP($AS34,$AD$1:$AL$24,2)</f>
        <v>3</v>
      </c>
      <c r="AV34" s="74">
        <f ca="1">VLOOKUP($AS34,$AD$1:$AL$24,3)</f>
        <v>1</v>
      </c>
      <c r="AW34" s="74">
        <f ca="1">VLOOKUP($AS34,$AD$1:$AL$24,4)</f>
        <v>2</v>
      </c>
      <c r="AX34" s="74">
        <f ca="1">VLOOKUP($AS34,$AD$1:$AL$24,5)</f>
        <v>0</v>
      </c>
      <c r="AY34" s="88"/>
      <c r="AZ34" s="74">
        <f ca="1">VLOOKUP($AS34,$AD$1:$AL$24,6)</f>
        <v>6</v>
      </c>
      <c r="BA34" s="74" t="s">
        <v>8</v>
      </c>
      <c r="BB34" s="74">
        <f ca="1">VLOOKUP($AS34,$AD$1:$AL$24,7)</f>
        <v>1</v>
      </c>
      <c r="BC34" s="88"/>
      <c r="BD34" s="75">
        <f ca="1">VLOOKUP($AS34,$AD$1:$AL$24,8)</f>
        <v>5</v>
      </c>
      <c r="BE34" s="91"/>
      <c r="BF34" s="76">
        <f ca="1">VLOOKUP($AS34,$AD$1:$AL$24,9)</f>
        <v>5</v>
      </c>
      <c r="BH34" s="21" t="str">
        <f ca="1">AP22</f>
        <v>F4</v>
      </c>
      <c r="BI34" s="24" t="str">
        <f ca="1">VLOOKUP(BH34,helper!$G$2:$I$25,2)&amp;IF(SUM(BJ$33:BJ$36)=12,"",helper!$U$2)</f>
        <v>Deutschland</v>
      </c>
      <c r="BJ34" s="74">
        <f ca="1">VLOOKUP($BH34,$AD$1:$AL$24,2)</f>
        <v>3</v>
      </c>
      <c r="BK34" s="74">
        <f ca="1">VLOOKUP($BH34,$AD$1:$AL$24,3)</f>
        <v>1</v>
      </c>
      <c r="BL34" s="74">
        <f ca="1">VLOOKUP($BH34,$AD$1:$AL$24,4)</f>
        <v>1</v>
      </c>
      <c r="BM34" s="74">
        <f ca="1">VLOOKUP($BH34,$AD$1:$AL$24,5)</f>
        <v>1</v>
      </c>
      <c r="BN34" s="88"/>
      <c r="BO34" s="74">
        <f ca="1">VLOOKUP($BH34,$AD$1:$AL$24,6)</f>
        <v>6</v>
      </c>
      <c r="BP34" s="74" t="s">
        <v>8</v>
      </c>
      <c r="BQ34" s="74">
        <f ca="1">VLOOKUP($BH34,$AD$1:$AL$24,7)</f>
        <v>5</v>
      </c>
      <c r="BR34" s="88"/>
      <c r="BS34" s="75">
        <f ca="1">VLOOKUP($BH34,$AD$1:$AL$24,8)</f>
        <v>1</v>
      </c>
      <c r="BT34" s="91"/>
      <c r="BU34" s="76">
        <f ca="1">VLOOKUP($BH34,$AD$1:$AL$24,9)</f>
        <v>4</v>
      </c>
    </row>
    <row r="35" spans="1:73" ht="18.75" x14ac:dyDescent="0.25">
      <c r="A35" s="133">
        <v>35</v>
      </c>
      <c r="B35" s="134">
        <v>3</v>
      </c>
      <c r="C35" s="134" t="str">
        <f t="shared" si="8"/>
        <v>F</v>
      </c>
      <c r="D35" s="135">
        <v>44370.875</v>
      </c>
      <c r="E35" s="3" t="s">
        <v>169</v>
      </c>
      <c r="F35" s="1" t="str">
        <f>VLOOKUP(E35,helper!$D$2:$E$12,2)</f>
        <v>Puskás Aréna</v>
      </c>
      <c r="G35" s="131" t="s">
        <v>65</v>
      </c>
      <c r="H35" s="132" t="str">
        <f>VLOOKUP(G35,helper!$K$2:$L$25,2)</f>
        <v>Portugal</v>
      </c>
      <c r="I35" s="156">
        <v>2</v>
      </c>
      <c r="J35" s="154" t="s">
        <v>8</v>
      </c>
      <c r="K35" s="156">
        <v>2</v>
      </c>
      <c r="L35" s="155" t="str">
        <f>VLOOKUP(M35,helper!$K$2:$L$25,2)</f>
        <v>Frankreich</v>
      </c>
      <c r="M35" s="155" t="s">
        <v>49</v>
      </c>
      <c r="N35" s="84"/>
      <c r="O35" s="6" t="str">
        <f>VLOOKUP(G35,helper!$K$2:$M$25,3)</f>
        <v>F2</v>
      </c>
      <c r="P35" s="6">
        <f t="shared" si="9"/>
        <v>1</v>
      </c>
      <c r="Q35" s="6">
        <f t="shared" si="10"/>
        <v>0</v>
      </c>
      <c r="R35" s="6">
        <f t="shared" si="11"/>
        <v>1</v>
      </c>
      <c r="S35" s="6">
        <f t="shared" si="12"/>
        <v>0</v>
      </c>
      <c r="T35" s="6">
        <f t="shared" si="13"/>
        <v>2</v>
      </c>
      <c r="U35" s="6">
        <f t="shared" si="14"/>
        <v>2</v>
      </c>
      <c r="V35" s="7" t="str">
        <f>VLOOKUP(M35,helper!$K$2:$M$25,3)</f>
        <v>F3</v>
      </c>
      <c r="W35" s="6">
        <f t="shared" si="15"/>
        <v>1</v>
      </c>
      <c r="X35" s="6">
        <f t="shared" si="16"/>
        <v>0</v>
      </c>
      <c r="Y35" s="6">
        <f t="shared" si="17"/>
        <v>1</v>
      </c>
      <c r="Z35" s="6">
        <f t="shared" si="18"/>
        <v>0</v>
      </c>
      <c r="AA35" s="6">
        <f t="shared" si="19"/>
        <v>2</v>
      </c>
      <c r="AB35" s="6">
        <f t="shared" si="20"/>
        <v>2</v>
      </c>
      <c r="AC35" s="6"/>
      <c r="AD35" s="7"/>
      <c r="AE35" s="7"/>
      <c r="AF35" s="7"/>
      <c r="AG35" s="7"/>
      <c r="AH35" s="7"/>
      <c r="AI35" s="7"/>
      <c r="AK35" s="8"/>
      <c r="AL35" s="8"/>
      <c r="AM35" s="8"/>
      <c r="AP35" s="8"/>
      <c r="AQ35" s="8"/>
      <c r="AS35" s="22" t="str">
        <f ca="1">AP19</f>
        <v>E4</v>
      </c>
      <c r="AT35" s="32" t="str">
        <f ca="1">VLOOKUP(AS35,helper!$G$2:$I$25,2)&amp;IF(SUM(AU$33:AU$36)=12,"",helper!$U$2)</f>
        <v>Slowakei</v>
      </c>
      <c r="AU35" s="72">
        <f ca="1">VLOOKUP($AS35,$AD$1:$AL$24,2)</f>
        <v>3</v>
      </c>
      <c r="AV35" s="72">
        <f ca="1">VLOOKUP($AS35,$AD$1:$AL$24,3)</f>
        <v>1</v>
      </c>
      <c r="AW35" s="72">
        <f ca="1">VLOOKUP($AS35,$AD$1:$AL$24,4)</f>
        <v>0</v>
      </c>
      <c r="AX35" s="72">
        <f ca="1">VLOOKUP($AS35,$AD$1:$AL$24,5)</f>
        <v>2</v>
      </c>
      <c r="AY35" s="89"/>
      <c r="AZ35" s="72">
        <f ca="1">VLOOKUP($AS35,$AD$1:$AL$24,6)</f>
        <v>2</v>
      </c>
      <c r="BA35" s="72" t="s">
        <v>8</v>
      </c>
      <c r="BB35" s="72">
        <f ca="1">VLOOKUP($AS35,$AD$1:$AL$24,7)</f>
        <v>7</v>
      </c>
      <c r="BC35" s="89"/>
      <c r="BD35" s="73">
        <f ca="1">VLOOKUP($AS35,$AD$1:$AL$24,8)</f>
        <v>-5</v>
      </c>
      <c r="BE35" s="92"/>
      <c r="BF35" s="86">
        <f ca="1">VLOOKUP($AS35,$AD$1:$AL$24,9)</f>
        <v>3</v>
      </c>
      <c r="BH35" s="22" t="str">
        <f ca="1">AP23</f>
        <v>F2</v>
      </c>
      <c r="BI35" s="32" t="str">
        <f ca="1">VLOOKUP(BH35,helper!$G$2:$I$25,2)&amp;IF(SUM(BJ$33:BJ$36)=12,"",helper!$U$2)</f>
        <v>Portugal</v>
      </c>
      <c r="BJ35" s="72">
        <f ca="1">VLOOKUP($BH35,$AD$1:$AL$24,2)</f>
        <v>3</v>
      </c>
      <c r="BK35" s="72">
        <f ca="1">VLOOKUP($BH35,$AD$1:$AL$24,3)</f>
        <v>1</v>
      </c>
      <c r="BL35" s="72">
        <f ca="1">VLOOKUP($BH35,$AD$1:$AL$24,4)</f>
        <v>1</v>
      </c>
      <c r="BM35" s="72">
        <f ca="1">VLOOKUP($BH35,$AD$1:$AL$24,5)</f>
        <v>1</v>
      </c>
      <c r="BN35" s="89"/>
      <c r="BO35" s="72">
        <f ca="1">VLOOKUP($BH35,$AD$1:$AL$24,6)</f>
        <v>7</v>
      </c>
      <c r="BP35" s="72" t="s">
        <v>8</v>
      </c>
      <c r="BQ35" s="72">
        <f ca="1">VLOOKUP($BH35,$AD$1:$AL$24,7)</f>
        <v>6</v>
      </c>
      <c r="BR35" s="89"/>
      <c r="BS35" s="73">
        <f ca="1">VLOOKUP($BH35,$AD$1:$AL$24,8)</f>
        <v>1</v>
      </c>
      <c r="BT35" s="92"/>
      <c r="BU35" s="86">
        <f ca="1">VLOOKUP($BH35,$AD$1:$AL$24,9)</f>
        <v>4</v>
      </c>
    </row>
    <row r="36" spans="1:73" ht="19.5" thickBot="1" x14ac:dyDescent="0.3">
      <c r="A36" s="133">
        <v>36</v>
      </c>
      <c r="B36" s="134">
        <v>3</v>
      </c>
      <c r="C36" s="134" t="str">
        <f t="shared" si="8"/>
        <v>F</v>
      </c>
      <c r="D36" s="135">
        <v>44370.875</v>
      </c>
      <c r="E36" s="3" t="s">
        <v>163</v>
      </c>
      <c r="F36" s="1" t="str">
        <f>VLOOKUP(E36,helper!$D$2:$E$12,2)</f>
        <v>Allianz Arena</v>
      </c>
      <c r="G36" s="131" t="s">
        <v>55</v>
      </c>
      <c r="H36" s="132" t="str">
        <f>VLOOKUP(G36,helper!$K$2:$L$25,2)</f>
        <v>Deutschland</v>
      </c>
      <c r="I36" s="156">
        <v>2</v>
      </c>
      <c r="J36" s="154" t="s">
        <v>8</v>
      </c>
      <c r="K36" s="156">
        <v>2</v>
      </c>
      <c r="L36" s="155" t="str">
        <f>VLOOKUP(M36,helper!$K$2:$L$25,2)</f>
        <v>Ungarn</v>
      </c>
      <c r="M36" s="155" t="s">
        <v>67</v>
      </c>
      <c r="N36" s="84"/>
      <c r="O36" s="6" t="str">
        <f>VLOOKUP(G36,helper!$K$2:$M$25,3)</f>
        <v>F4</v>
      </c>
      <c r="P36" s="6">
        <f t="shared" si="9"/>
        <v>1</v>
      </c>
      <c r="Q36" s="6">
        <f t="shared" si="10"/>
        <v>0</v>
      </c>
      <c r="R36" s="6">
        <f t="shared" si="11"/>
        <v>1</v>
      </c>
      <c r="S36" s="6">
        <f t="shared" si="12"/>
        <v>0</v>
      </c>
      <c r="T36" s="6">
        <f t="shared" si="13"/>
        <v>2</v>
      </c>
      <c r="U36" s="6">
        <f t="shared" si="14"/>
        <v>2</v>
      </c>
      <c r="V36" s="7" t="str">
        <f>VLOOKUP(M36,helper!$K$2:$M$25,3)</f>
        <v>F1</v>
      </c>
      <c r="W36" s="6">
        <f t="shared" si="15"/>
        <v>1</v>
      </c>
      <c r="X36" s="6">
        <f t="shared" si="16"/>
        <v>0</v>
      </c>
      <c r="Y36" s="6">
        <f t="shared" si="17"/>
        <v>1</v>
      </c>
      <c r="Z36" s="6">
        <f t="shared" si="18"/>
        <v>0</v>
      </c>
      <c r="AA36" s="6">
        <f t="shared" si="19"/>
        <v>2</v>
      </c>
      <c r="AB36" s="6">
        <f t="shared" si="20"/>
        <v>2</v>
      </c>
      <c r="AC36" s="6"/>
      <c r="AD36" s="7"/>
      <c r="AE36" s="7"/>
      <c r="AF36" s="7"/>
      <c r="AG36" s="7"/>
      <c r="AH36" s="7"/>
      <c r="AI36" s="7"/>
      <c r="AK36" s="8"/>
      <c r="AL36" s="8"/>
      <c r="AM36" s="8"/>
      <c r="AP36" s="8"/>
      <c r="AQ36" s="8"/>
      <c r="AS36" s="23" t="str">
        <f ca="1">AP20</f>
        <v>E3</v>
      </c>
      <c r="AT36" s="33" t="str">
        <f ca="1">VLOOKUP(AS36,helper!$G$2:$I$25,2)&amp;IF(SUM(AU$33:AU$36)=12,"",helper!$U$2)</f>
        <v>Polen</v>
      </c>
      <c r="AU36" s="77">
        <f ca="1">VLOOKUP($AS36,$AD$1:$AL$24,2)</f>
        <v>3</v>
      </c>
      <c r="AV36" s="77">
        <f ca="1">VLOOKUP($AS36,$AD$1:$AL$24,3)</f>
        <v>0</v>
      </c>
      <c r="AW36" s="77">
        <f ca="1">VLOOKUP($AS36,$AD$1:$AL$24,4)</f>
        <v>1</v>
      </c>
      <c r="AX36" s="77">
        <f ca="1">VLOOKUP($AS36,$AD$1:$AL$24,5)</f>
        <v>2</v>
      </c>
      <c r="AY36" s="90"/>
      <c r="AZ36" s="77">
        <f ca="1">VLOOKUP($AS36,$AD$1:$AL$24,6)</f>
        <v>4</v>
      </c>
      <c r="BA36" s="77" t="s">
        <v>8</v>
      </c>
      <c r="BB36" s="77">
        <f ca="1">VLOOKUP($AS36,$AD$1:$AL$24,7)</f>
        <v>6</v>
      </c>
      <c r="BC36" s="90"/>
      <c r="BD36" s="78">
        <f ca="1">VLOOKUP($AS36,$AD$1:$AL$24,8)</f>
        <v>-2</v>
      </c>
      <c r="BE36" s="93"/>
      <c r="BF36" s="87">
        <f ca="1">VLOOKUP($AS36,$AD$1:$AL$24,9)</f>
        <v>1</v>
      </c>
      <c r="BH36" s="23" t="str">
        <f ca="1">AP24</f>
        <v>F1</v>
      </c>
      <c r="BI36" s="33" t="str">
        <f ca="1">VLOOKUP(BH36,helper!$G$2:$I$25,2)&amp;IF(SUM(BJ$33:BJ$36)=12,"",helper!$U$2)</f>
        <v>Ungarn</v>
      </c>
      <c r="BJ36" s="77">
        <f ca="1">VLOOKUP($BH36,$AD$1:$AL$24,2)</f>
        <v>3</v>
      </c>
      <c r="BK36" s="77">
        <f ca="1">VLOOKUP($BH36,$AD$1:$AL$24,3)</f>
        <v>0</v>
      </c>
      <c r="BL36" s="77">
        <f ca="1">VLOOKUP($BH36,$AD$1:$AL$24,4)</f>
        <v>2</v>
      </c>
      <c r="BM36" s="77">
        <f ca="1">VLOOKUP($BH36,$AD$1:$AL$24,5)</f>
        <v>1</v>
      </c>
      <c r="BN36" s="90"/>
      <c r="BO36" s="77">
        <f ca="1">VLOOKUP($BH36,$AD$1:$AL$24,6)</f>
        <v>3</v>
      </c>
      <c r="BP36" s="77" t="s">
        <v>8</v>
      </c>
      <c r="BQ36" s="77">
        <f ca="1">VLOOKUP($BH36,$AD$1:$AL$24,7)</f>
        <v>6</v>
      </c>
      <c r="BR36" s="90"/>
      <c r="BS36" s="78">
        <f ca="1">VLOOKUP($BH36,$AD$1:$AL$24,8)</f>
        <v>-3</v>
      </c>
      <c r="BT36" s="93"/>
      <c r="BU36" s="87">
        <f ca="1">VLOOKUP($BH36,$AD$1:$AL$24,9)</f>
        <v>2</v>
      </c>
    </row>
  </sheetData>
  <sortState ref="BW1:BX12">
    <sortCondition ref="BW1:BW12"/>
  </sortState>
  <mergeCells count="8">
    <mergeCell ref="AS8:BF8"/>
    <mergeCell ref="AS2:BU6"/>
    <mergeCell ref="AS31:BF31"/>
    <mergeCell ref="BH31:BU31"/>
    <mergeCell ref="AS17:BF17"/>
    <mergeCell ref="BH17:BU17"/>
    <mergeCell ref="AS24:BF24"/>
    <mergeCell ref="BH24:BU24"/>
  </mergeCells>
  <conditionalFormatting sqref="A2:M36">
    <cfRule type="expression" dxfId="11" priority="2">
      <formula>DAY($D2)&lt;&gt;DAY($D1)</formula>
    </cfRule>
  </conditionalFormatting>
  <conditionalFormatting sqref="AT19:BE21 AT26:BE28 AT33:BE35">
    <cfRule type="expression" dxfId="10" priority="15">
      <formula>COUNTIF($AQ$1:$AQ$31,$AS19)&gt;0</formula>
    </cfRule>
  </conditionalFormatting>
  <conditionalFormatting sqref="AT21:BE21 AT28:BE28 AT35:BE35">
    <cfRule type="expression" dxfId="9" priority="5">
      <formula>OR(SUM($AU$10:$AU$15)&lt;18,AND($AQ$33&gt;4,COUNTIF($AQ$26:$AQ$31,$AS21)&gt;0))</formula>
    </cfRule>
  </conditionalFormatting>
  <conditionalFormatting sqref="AT10:BE15">
    <cfRule type="expression" dxfId="8" priority="4">
      <formula>$AQ$33&gt;4</formula>
    </cfRule>
  </conditionalFormatting>
  <conditionalFormatting sqref="BI19:BT21 BI26:BT28 BI33:BT35">
    <cfRule type="expression" dxfId="7" priority="19">
      <formula>COUNTIF($AQ$1:$AQ$31,$BH19)&gt;0</formula>
    </cfRule>
  </conditionalFormatting>
  <conditionalFormatting sqref="BF10:BF15">
    <cfRule type="expression" dxfId="6" priority="3">
      <formula>$AQ$33&gt;4</formula>
    </cfRule>
  </conditionalFormatting>
  <conditionalFormatting sqref="BF21 BF28 BF35">
    <cfRule type="expression" dxfId="5" priority="1">
      <formula>OR(SUM($AU$10:$AU$15)&lt;18,AND($AQ$33&gt;4,COUNTIF($AQ$26:$AQ$31,$AS21)&gt;0))</formula>
    </cfRule>
  </conditionalFormatting>
  <conditionalFormatting sqref="BU21 BU28 BU35">
    <cfRule type="expression" dxfId="4" priority="6">
      <formula>OR(SUM($AU$10:$AU$15)&lt;18,AND($AQ$33&gt;4,COUNTIF($AQ$26:$AQ$31,$BH21)&gt;0))</formula>
    </cfRule>
  </conditionalFormatting>
  <conditionalFormatting sqref="BI21:BT21 BI28:BT28 BI35:BT35">
    <cfRule type="expression" dxfId="3" priority="8">
      <formula>OR(SUM($AU$10:$AU$15)&lt;18,AND($AQ$33&gt;4,COUNTIF($AQ$26:$AQ$31,$AS14)&gt;0))</formula>
    </cfRule>
  </conditionalFormatting>
  <conditionalFormatting sqref="BF19:BF21 BF26:BF28 BF33:BF35">
    <cfRule type="expression" dxfId="2" priority="13">
      <formula>COUNTIF($AQ$1:$AQ$31,$AS19)&gt;0</formula>
    </cfRule>
  </conditionalFormatting>
  <conditionalFormatting sqref="BU19:BU21 BU26:BU28 BU33:BU35">
    <cfRule type="expression" dxfId="1" priority="18">
      <formula>COUNTIF($AQ$1:$AQ$31,$BH19)&gt;0</formula>
    </cfRule>
  </conditionalFormatting>
  <pageMargins left="0.7" right="0.7" top="0.78740157499999996" bottom="0.78740157499999996" header="0.3" footer="0.3"/>
  <pageSetup paperSize="9" orientation="portrait" verticalDpi="598" r:id="rId1"/>
  <ignoredErrors>
    <ignoredError sqref="BG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N60"/>
  <sheetViews>
    <sheetView tabSelected="1" workbookViewId="0">
      <selection sqref="A1:L1"/>
    </sheetView>
  </sheetViews>
  <sheetFormatPr baseColWidth="10" defaultRowHeight="15.75" x14ac:dyDescent="0.25"/>
  <cols>
    <col min="1" max="1" width="3.7109375" style="2" customWidth="1"/>
    <col min="2" max="2" width="6.7109375" style="2" customWidth="1"/>
    <col min="3" max="3" width="34.7109375" style="2" customWidth="1"/>
    <col min="4" max="4" width="17.7109375" style="1" customWidth="1"/>
    <col min="5" max="5" width="20.7109375" style="1" customWidth="1"/>
    <col min="6" max="6" width="4.7109375" style="1" customWidth="1"/>
    <col min="7" max="7" width="17.7109375" style="1" customWidth="1"/>
    <col min="8" max="8" width="4.7109375" style="1" customWidth="1"/>
    <col min="9" max="9" width="1.7109375" style="4" customWidth="1"/>
    <col min="10" max="10" width="4.7109375" style="5" customWidth="1"/>
    <col min="11" max="11" width="17.7109375" style="1" customWidth="1"/>
    <col min="12" max="12" width="4.7109375" style="1" customWidth="1"/>
    <col min="13" max="13" width="10.7109375" style="1" customWidth="1"/>
    <col min="14" max="16384" width="11.42578125" style="1"/>
  </cols>
  <sheetData>
    <row r="1" spans="1:14" ht="18.75" customHeight="1" x14ac:dyDescent="0.25">
      <c r="A1" s="166" t="s">
        <v>101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8"/>
    </row>
    <row r="2" spans="1:14" ht="18.75" customHeight="1" x14ac:dyDescent="0.25">
      <c r="A2" s="139">
        <v>37</v>
      </c>
      <c r="B2" s="140" t="s">
        <v>122</v>
      </c>
      <c r="C2" s="141">
        <v>44373.75</v>
      </c>
      <c r="D2" s="29" t="s">
        <v>168</v>
      </c>
      <c r="E2" s="11" t="str">
        <f>VLOOKUP(D2,helper!$D$2:$E$11,2)</f>
        <v>Johan Cruijff ArenA</v>
      </c>
      <c r="F2" s="150" t="s">
        <v>197</v>
      </c>
      <c r="G2" s="151" t="str">
        <f ca="1">VLOOKUP(F2,Gruppenphase!$BW$1:$BX$16,2)</f>
        <v>Wales</v>
      </c>
      <c r="H2" s="153"/>
      <c r="I2" s="149" t="s">
        <v>8</v>
      </c>
      <c r="J2" s="153"/>
      <c r="K2" s="147" t="str">
        <f ca="1">VLOOKUP(L2,Gruppenphase!$BW$1:$BX$16,2)</f>
        <v>Dänemark</v>
      </c>
      <c r="L2" s="148" t="s">
        <v>199</v>
      </c>
      <c r="M2" s="82"/>
      <c r="N2" s="129" t="s">
        <v>184</v>
      </c>
    </row>
    <row r="3" spans="1:14" ht="18.75" customHeight="1" x14ac:dyDescent="0.25">
      <c r="A3" s="139">
        <v>38</v>
      </c>
      <c r="B3" s="140" t="s">
        <v>124</v>
      </c>
      <c r="C3" s="141">
        <v>44373.833333333336</v>
      </c>
      <c r="D3" s="29" t="s">
        <v>161</v>
      </c>
      <c r="E3" s="11" t="str">
        <f>VLOOKUP(D3,helper!$D$2:$E$11,2)</f>
        <v>Wembley Stadium</v>
      </c>
      <c r="F3" s="150" t="s">
        <v>196</v>
      </c>
      <c r="G3" s="151" t="str">
        <f ca="1">VLOOKUP(F3,Gruppenphase!$BW$1:$BX$16,2)</f>
        <v>Italien</v>
      </c>
      <c r="H3" s="153"/>
      <c r="I3" s="149" t="s">
        <v>8</v>
      </c>
      <c r="J3" s="153"/>
      <c r="K3" s="147" t="str">
        <f ca="1">VLOOKUP(L3,Gruppenphase!$BW$1:$BX$16,2)</f>
        <v>&gt; Österreich</v>
      </c>
      <c r="L3" s="148" t="s">
        <v>201</v>
      </c>
      <c r="M3" s="82"/>
      <c r="N3" s="130" t="s">
        <v>160</v>
      </c>
    </row>
    <row r="4" spans="1:14" ht="18.75" customHeight="1" x14ac:dyDescent="0.25">
      <c r="A4" s="139">
        <v>39</v>
      </c>
      <c r="B4" s="140" t="s">
        <v>123</v>
      </c>
      <c r="C4" s="141">
        <v>44374.75</v>
      </c>
      <c r="D4" s="29" t="s">
        <v>169</v>
      </c>
      <c r="E4" s="11" t="str">
        <f>VLOOKUP(D4,helper!$D$2:$E$11,2)</f>
        <v>Puskás Aréna</v>
      </c>
      <c r="F4" s="150" t="s">
        <v>200</v>
      </c>
      <c r="G4" s="151" t="str">
        <f ca="1">VLOOKUP(F4,Gruppenphase!$BW$1:$BX$16,2)</f>
        <v>Niederlande</v>
      </c>
      <c r="H4" s="153"/>
      <c r="I4" s="149" t="s">
        <v>8</v>
      </c>
      <c r="J4" s="153"/>
      <c r="K4" s="147" t="str">
        <f ca="1">VLOOKUP(L4,Gruppenphase!$BW$1:$BX$16,2)</f>
        <v>Tschechien</v>
      </c>
      <c r="L4" s="148" t="s">
        <v>209</v>
      </c>
      <c r="M4" s="82"/>
      <c r="N4" s="130" t="s">
        <v>80</v>
      </c>
    </row>
    <row r="5" spans="1:14" ht="18.75" customHeight="1" x14ac:dyDescent="0.25">
      <c r="A5" s="139">
        <v>40</v>
      </c>
      <c r="B5" s="140" t="s">
        <v>125</v>
      </c>
      <c r="C5" s="141">
        <v>44374.875</v>
      </c>
      <c r="D5" s="29" t="s">
        <v>167</v>
      </c>
      <c r="E5" s="11" t="str">
        <f>VLOOKUP(D5,helper!$D$2:$E$11,2)</f>
        <v>Krestowski-Stadion</v>
      </c>
      <c r="F5" s="150" t="s">
        <v>198</v>
      </c>
      <c r="G5" s="151" t="str">
        <f ca="1">VLOOKUP(F5,Gruppenphase!$BW$1:$BX$16,2)</f>
        <v>Belgien</v>
      </c>
      <c r="H5" s="153"/>
      <c r="I5" s="149" t="s">
        <v>8</v>
      </c>
      <c r="J5" s="153"/>
      <c r="K5" s="147" t="str">
        <f ca="1">VLOOKUP(L5,Gruppenphase!$BW$1:$BX$16,2)</f>
        <v>Portugal</v>
      </c>
      <c r="L5" s="148" t="s">
        <v>208</v>
      </c>
      <c r="M5" s="82"/>
    </row>
    <row r="6" spans="1:14" ht="18.75" customHeight="1" x14ac:dyDescent="0.25">
      <c r="A6" s="139">
        <v>41</v>
      </c>
      <c r="B6" s="140" t="s">
        <v>126</v>
      </c>
      <c r="C6" s="141">
        <v>44375.75</v>
      </c>
      <c r="D6" s="29" t="s">
        <v>166</v>
      </c>
      <c r="E6" s="11" t="str">
        <f>VLOOKUP(D6,helper!$D$2:$E$11,2)</f>
        <v>Parken</v>
      </c>
      <c r="F6" s="150" t="s">
        <v>203</v>
      </c>
      <c r="G6" s="151" t="str">
        <f ca="1">VLOOKUP(F6,Gruppenphase!$BW$1:$BX$16,2)</f>
        <v>Kroatien</v>
      </c>
      <c r="H6" s="153"/>
      <c r="I6" s="149" t="s">
        <v>8</v>
      </c>
      <c r="J6" s="153"/>
      <c r="K6" s="147" t="str">
        <f ca="1">VLOOKUP(L6,Gruppenphase!$BW$1:$BX$16,2)</f>
        <v>Spanien</v>
      </c>
      <c r="L6" s="148" t="s">
        <v>205</v>
      </c>
      <c r="M6" s="82"/>
    </row>
    <row r="7" spans="1:14" ht="18.75" customHeight="1" x14ac:dyDescent="0.25">
      <c r="A7" s="139">
        <v>42</v>
      </c>
      <c r="B7" s="140" t="s">
        <v>127</v>
      </c>
      <c r="C7" s="141">
        <v>44375.875</v>
      </c>
      <c r="D7" s="29" t="s">
        <v>170</v>
      </c>
      <c r="E7" s="11" t="str">
        <f>VLOOKUP(D7,helper!$D$2:$E$11,2)</f>
        <v>Arena Națională</v>
      </c>
      <c r="F7" s="150" t="s">
        <v>206</v>
      </c>
      <c r="G7" s="151" t="str">
        <f ca="1">VLOOKUP(F7,Gruppenphase!$BW$1:$BX$16,2)</f>
        <v>Frankreich</v>
      </c>
      <c r="H7" s="153"/>
      <c r="I7" s="149" t="s">
        <v>8</v>
      </c>
      <c r="J7" s="153"/>
      <c r="K7" s="147" t="str">
        <f ca="1">VLOOKUP(L7,Gruppenphase!$BW$1:$BX$16,2)</f>
        <v>Schweiz</v>
      </c>
      <c r="L7" s="148" t="s">
        <v>211</v>
      </c>
      <c r="M7" s="82"/>
    </row>
    <row r="8" spans="1:14" ht="18.75" customHeight="1" x14ac:dyDescent="0.25">
      <c r="A8" s="139">
        <v>43</v>
      </c>
      <c r="B8" s="140" t="s">
        <v>128</v>
      </c>
      <c r="C8" s="141">
        <v>44376.75</v>
      </c>
      <c r="D8" s="29" t="s">
        <v>161</v>
      </c>
      <c r="E8" s="11" t="str">
        <f>VLOOKUP(D8,helper!$D$2:$E$11,2)</f>
        <v>Wembley Stadium</v>
      </c>
      <c r="F8" s="150" t="s">
        <v>202</v>
      </c>
      <c r="G8" s="151" t="str">
        <f ca="1">VLOOKUP(F8,Gruppenphase!$BW$1:$BX$16,2)</f>
        <v>England</v>
      </c>
      <c r="H8" s="153"/>
      <c r="I8" s="149" t="s">
        <v>8</v>
      </c>
      <c r="J8" s="153"/>
      <c r="K8" s="147" t="str">
        <f ca="1">VLOOKUP(L8,Gruppenphase!$BW$1:$BX$16,2)</f>
        <v>Deutschland</v>
      </c>
      <c r="L8" s="148" t="s">
        <v>207</v>
      </c>
      <c r="M8" s="82"/>
    </row>
    <row r="9" spans="1:14" ht="18.75" customHeight="1" x14ac:dyDescent="0.25">
      <c r="A9" s="136">
        <v>44</v>
      </c>
      <c r="B9" s="140" t="s">
        <v>129</v>
      </c>
      <c r="C9" s="138">
        <v>44376.833333333336</v>
      </c>
      <c r="D9" s="30" t="s">
        <v>165</v>
      </c>
      <c r="E9" s="31" t="str">
        <f>VLOOKUP(D9,helper!$D$2:$E$11,2)</f>
        <v>Hampden Park</v>
      </c>
      <c r="F9" s="142" t="s">
        <v>204</v>
      </c>
      <c r="G9" s="143" t="str">
        <f ca="1">VLOOKUP(F9,Gruppenphase!$BW$1:$BX$16,2)</f>
        <v>Schweden</v>
      </c>
      <c r="H9" s="152"/>
      <c r="I9" s="144" t="s">
        <v>8</v>
      </c>
      <c r="J9" s="152"/>
      <c r="K9" s="147" t="str">
        <f ca="1">VLOOKUP(L9,Gruppenphase!$BW$1:$BX$16,2)</f>
        <v>Ukraine</v>
      </c>
      <c r="L9" s="146" t="s">
        <v>210</v>
      </c>
      <c r="M9" s="82"/>
    </row>
    <row r="10" spans="1:14" s="16" customFormat="1" ht="18.75" customHeight="1" x14ac:dyDescent="0.25">
      <c r="A10" s="166" t="s">
        <v>102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8"/>
      <c r="M10" s="83"/>
    </row>
    <row r="11" spans="1:14" ht="18.75" customHeight="1" x14ac:dyDescent="0.25">
      <c r="A11" s="139">
        <v>45</v>
      </c>
      <c r="B11" s="140" t="s">
        <v>130</v>
      </c>
      <c r="C11" s="141">
        <v>44379.75</v>
      </c>
      <c r="D11" s="29" t="s">
        <v>193</v>
      </c>
      <c r="E11" s="11" t="str">
        <f>VLOOKUP(D11,helper!$D$2:$E$11,2)</f>
        <v>Krestowski-Stadion</v>
      </c>
      <c r="F11" s="150"/>
      <c r="G11" s="151" t="str">
        <f>IF(H2=J2,"Sieger AF1",IF(H2&gt;J2,G2,K2))</f>
        <v>Sieger AF1</v>
      </c>
      <c r="H11" s="153"/>
      <c r="I11" s="149" t="s">
        <v>8</v>
      </c>
      <c r="J11" s="153"/>
      <c r="K11" s="147" t="str">
        <f>IF(H4=J4,"Sieger AF3",IF(H4&gt;J4,G4,K4))</f>
        <v>Sieger AF3</v>
      </c>
      <c r="L11" s="148"/>
      <c r="M11" s="82"/>
    </row>
    <row r="12" spans="1:14" ht="18.75" customHeight="1" x14ac:dyDescent="0.25">
      <c r="A12" s="139">
        <v>46</v>
      </c>
      <c r="B12" s="140" t="s">
        <v>131</v>
      </c>
      <c r="C12" s="141">
        <v>44379.875</v>
      </c>
      <c r="D12" s="29" t="s">
        <v>163</v>
      </c>
      <c r="E12" s="11" t="str">
        <f>VLOOKUP(D12,helper!$D$2:$E$11,2)</f>
        <v>Allianz Arena</v>
      </c>
      <c r="F12" s="150"/>
      <c r="G12" s="151" t="str">
        <f>IF(H3=J3,"Sieger AF2",IF(H3&gt;J3,G3,K3))</f>
        <v>Sieger AF2</v>
      </c>
      <c r="H12" s="153"/>
      <c r="I12" s="149" t="s">
        <v>8</v>
      </c>
      <c r="J12" s="153"/>
      <c r="K12" s="147" t="str">
        <f>IF(H7=J7,"Sieger AF6",IF(H7&gt;J7,G7,K7))</f>
        <v>Sieger AF6</v>
      </c>
      <c r="L12" s="148"/>
      <c r="M12" s="82"/>
    </row>
    <row r="13" spans="1:14" ht="18.75" customHeight="1" x14ac:dyDescent="0.25">
      <c r="A13" s="139">
        <v>47</v>
      </c>
      <c r="B13" s="140" t="s">
        <v>132</v>
      </c>
      <c r="C13" s="141">
        <v>44380.75</v>
      </c>
      <c r="D13" s="29" t="s">
        <v>162</v>
      </c>
      <c r="E13" s="11" t="str">
        <f>VLOOKUP(D13,helper!$D$2:$E$11,2)</f>
        <v>Bakı Milli Stadionu</v>
      </c>
      <c r="F13" s="150"/>
      <c r="G13" s="151" t="str">
        <f>IF(H6=J6,"Sieger AF5",IF(H6&gt;J6,G6,K6))</f>
        <v>Sieger AF5</v>
      </c>
      <c r="H13" s="153"/>
      <c r="I13" s="149" t="s">
        <v>8</v>
      </c>
      <c r="J13" s="153"/>
      <c r="K13" s="147" t="str">
        <f>IF(H8=J8,"Sieger AF7",IF(H8&gt;J8,G8,K8))</f>
        <v>Sieger AF7</v>
      </c>
      <c r="L13" s="148"/>
      <c r="M13" s="82"/>
    </row>
    <row r="14" spans="1:14" ht="18.75" customHeight="1" x14ac:dyDescent="0.25">
      <c r="A14" s="136">
        <v>48</v>
      </c>
      <c r="B14" s="140" t="s">
        <v>133</v>
      </c>
      <c r="C14" s="138">
        <v>44380.875</v>
      </c>
      <c r="D14" s="30" t="s">
        <v>164</v>
      </c>
      <c r="E14" s="31" t="str">
        <f>VLOOKUP(D14,helper!$D$2:$E$11,2)</f>
        <v>Stadio Olimpico</v>
      </c>
      <c r="F14" s="142"/>
      <c r="G14" s="143" t="str">
        <f>IF(H5=J5,"Sieger AF4",IF(H5&gt;J5,G5,K5))</f>
        <v>Sieger AF4</v>
      </c>
      <c r="H14" s="152"/>
      <c r="I14" s="144" t="s">
        <v>8</v>
      </c>
      <c r="J14" s="152"/>
      <c r="K14" s="145" t="str">
        <f>IF(H9=J9,"Sieger AF8",IF(H9&gt;J9,G9,K9))</f>
        <v>Sieger AF8</v>
      </c>
      <c r="L14" s="146"/>
      <c r="M14" s="82"/>
    </row>
    <row r="15" spans="1:14" s="16" customFormat="1" ht="18.75" customHeight="1" x14ac:dyDescent="0.25">
      <c r="A15" s="166" t="s">
        <v>121</v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8"/>
      <c r="M15" s="83"/>
    </row>
    <row r="16" spans="1:14" ht="18.75" customHeight="1" x14ac:dyDescent="0.25">
      <c r="A16" s="139">
        <v>49</v>
      </c>
      <c r="B16" s="140" t="s">
        <v>134</v>
      </c>
      <c r="C16" s="141">
        <v>44383.875</v>
      </c>
      <c r="D16" s="29" t="s">
        <v>161</v>
      </c>
      <c r="E16" s="11" t="str">
        <f>VLOOKUP(D16,helper!$D$2:$E$11,2)</f>
        <v>Wembley Stadium</v>
      </c>
      <c r="F16" s="150"/>
      <c r="G16" s="151" t="str">
        <f>IF(H11=J11,"Sieger VF1",IF(H11&gt;J11,G11,K11))</f>
        <v>Sieger VF1</v>
      </c>
      <c r="H16" s="153"/>
      <c r="I16" s="149" t="s">
        <v>8</v>
      </c>
      <c r="J16" s="153"/>
      <c r="K16" s="147" t="str">
        <f>IF(H12=J12,"Sieger VF2",IF(H12&gt;J12,G12,K12))</f>
        <v>Sieger VF2</v>
      </c>
      <c r="L16" s="148"/>
      <c r="M16" s="82"/>
    </row>
    <row r="17" spans="1:13" ht="18.75" customHeight="1" x14ac:dyDescent="0.25">
      <c r="A17" s="136">
        <v>50</v>
      </c>
      <c r="B17" s="140" t="s">
        <v>135</v>
      </c>
      <c r="C17" s="138">
        <v>44384.875</v>
      </c>
      <c r="D17" s="30" t="s">
        <v>161</v>
      </c>
      <c r="E17" s="31" t="str">
        <f>VLOOKUP(D17,helper!$D$2:$E$11,2)</f>
        <v>Wembley Stadium</v>
      </c>
      <c r="F17" s="142"/>
      <c r="G17" s="143" t="str">
        <f>IF(H13=J13,"Sieger VF3",IF(H13&gt;J13,G13,K13))</f>
        <v>Sieger VF3</v>
      </c>
      <c r="H17" s="152"/>
      <c r="I17" s="144" t="s">
        <v>8</v>
      </c>
      <c r="J17" s="152"/>
      <c r="K17" s="145" t="str">
        <f>IF(H14=J14,"Sieger VF4",IF(H14&gt;J14,G14,K14))</f>
        <v>Sieger VF4</v>
      </c>
      <c r="L17" s="146"/>
      <c r="M17" s="82"/>
    </row>
    <row r="18" spans="1:13" s="16" customFormat="1" ht="18.75" customHeight="1" x14ac:dyDescent="0.25">
      <c r="A18" s="166" t="s">
        <v>103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8"/>
      <c r="M18" s="83"/>
    </row>
    <row r="19" spans="1:13" ht="18.75" customHeight="1" x14ac:dyDescent="0.25">
      <c r="A19" s="136">
        <v>51</v>
      </c>
      <c r="B19" s="137" t="s">
        <v>148</v>
      </c>
      <c r="C19" s="138">
        <v>44388.875</v>
      </c>
      <c r="D19" s="30" t="s">
        <v>161</v>
      </c>
      <c r="E19" s="31" t="str">
        <f>VLOOKUP(D19,helper!$D$2:$E$11,2)</f>
        <v>Wembley Stadium</v>
      </c>
      <c r="F19" s="142"/>
      <c r="G19" s="143" t="str">
        <f>IF(H16=J16,"Sieger HF1",IF(H16&gt;J16,G16,K16))</f>
        <v>Sieger HF1</v>
      </c>
      <c r="H19" s="152"/>
      <c r="I19" s="144" t="s">
        <v>8</v>
      </c>
      <c r="J19" s="152"/>
      <c r="K19" s="145" t="str">
        <f>IF(H17=J17,"Sieger HF2",IF(H17&gt;J17,G17,K17))</f>
        <v>Sieger HF2</v>
      </c>
      <c r="L19" s="146"/>
      <c r="M19" s="82"/>
    </row>
    <row r="20" spans="1:13" ht="15.75" customHeight="1" x14ac:dyDescent="0.25">
      <c r="A20" s="14"/>
      <c r="B20" s="14"/>
      <c r="C20" s="14"/>
      <c r="D20" s="15"/>
      <c r="E20" s="16"/>
      <c r="F20" s="17"/>
      <c r="G20" s="15"/>
      <c r="H20" s="18"/>
      <c r="I20" s="19"/>
      <c r="J20" s="20"/>
      <c r="K20" s="16"/>
      <c r="L20" s="16"/>
    </row>
    <row r="21" spans="1:13" ht="18.75" customHeight="1" x14ac:dyDescent="0.25">
      <c r="A21" s="165" t="str">
        <f>IF(H19=J19,"..nnE..",IF(H19&gt;J19,G19,K19))</f>
        <v>..nnE..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</row>
    <row r="22" spans="1:13" ht="18.75" customHeight="1" x14ac:dyDescent="0.25">
      <c r="A22" s="165"/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</row>
    <row r="23" spans="1:13" ht="18.75" customHeight="1" x14ac:dyDescent="0.25">
      <c r="A23" s="165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</row>
    <row r="24" spans="1:13" ht="18.75" customHeight="1" x14ac:dyDescent="0.25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</row>
    <row r="25" spans="1:13" ht="18.75" customHeight="1" x14ac:dyDescent="0.25">
      <c r="A25" s="165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</row>
    <row r="26" spans="1:13" ht="15.75" customHeight="1" x14ac:dyDescent="0.25">
      <c r="A26" s="14"/>
      <c r="B26" s="14"/>
      <c r="C26" s="14"/>
      <c r="D26" s="15"/>
      <c r="E26" s="16"/>
      <c r="F26" s="17"/>
      <c r="G26" s="15"/>
      <c r="H26" s="18"/>
      <c r="I26" s="19"/>
      <c r="J26" s="20"/>
      <c r="K26" s="16"/>
      <c r="L26" s="16"/>
    </row>
    <row r="27" spans="1:13" ht="15.75" customHeight="1" x14ac:dyDescent="0.25">
      <c r="A27" s="14"/>
      <c r="B27" s="14"/>
      <c r="C27" s="14"/>
      <c r="D27" s="15"/>
      <c r="E27" s="16"/>
      <c r="F27" s="17"/>
      <c r="G27" s="15"/>
      <c r="H27" s="18"/>
      <c r="I27" s="19"/>
      <c r="J27" s="20"/>
      <c r="K27" s="16"/>
      <c r="L27" s="16"/>
    </row>
    <row r="28" spans="1:13" ht="15.75" customHeight="1" x14ac:dyDescent="0.25">
      <c r="A28" s="14"/>
      <c r="B28" s="14"/>
      <c r="C28" s="14"/>
      <c r="D28" s="15"/>
      <c r="E28" s="16"/>
      <c r="F28" s="17"/>
      <c r="G28" s="15"/>
      <c r="H28" s="18"/>
      <c r="I28" s="19"/>
      <c r="J28" s="20"/>
      <c r="K28" s="16"/>
      <c r="L28" s="16"/>
    </row>
    <row r="29" spans="1:13" ht="15.75" customHeight="1" x14ac:dyDescent="0.25">
      <c r="A29" s="14"/>
      <c r="B29" s="14"/>
      <c r="C29" s="14"/>
      <c r="D29" s="15"/>
      <c r="E29" s="16"/>
      <c r="F29" s="17"/>
      <c r="G29" s="15"/>
      <c r="H29" s="18"/>
      <c r="I29" s="19"/>
      <c r="J29" s="20"/>
      <c r="K29" s="16"/>
      <c r="L29" s="16"/>
    </row>
    <row r="30" spans="1:13" ht="15.75" customHeight="1" x14ac:dyDescent="0.25">
      <c r="A30" s="14"/>
      <c r="B30" s="14"/>
      <c r="C30" s="14"/>
      <c r="D30" s="15"/>
      <c r="E30" s="16"/>
      <c r="F30" s="17"/>
      <c r="G30" s="15"/>
      <c r="H30" s="18"/>
      <c r="I30" s="19"/>
      <c r="J30" s="20"/>
      <c r="K30" s="16"/>
      <c r="L30" s="16"/>
    </row>
    <row r="31" spans="1:13" ht="15.75" customHeight="1" x14ac:dyDescent="0.25">
      <c r="A31" s="14"/>
      <c r="B31" s="14"/>
      <c r="C31" s="14"/>
      <c r="D31" s="15"/>
      <c r="E31" s="16"/>
      <c r="F31" s="17"/>
      <c r="G31" s="15"/>
      <c r="H31" s="18"/>
      <c r="I31" s="19"/>
      <c r="J31" s="20"/>
      <c r="K31" s="16"/>
      <c r="L31" s="16"/>
    </row>
    <row r="32" spans="1:13" ht="15.75" customHeight="1" x14ac:dyDescent="0.25">
      <c r="A32" s="14"/>
      <c r="B32" s="14"/>
      <c r="C32" s="14"/>
      <c r="D32" s="15"/>
      <c r="E32" s="16"/>
      <c r="F32" s="17"/>
      <c r="G32" s="15"/>
      <c r="H32" s="18"/>
      <c r="I32" s="19"/>
      <c r="J32" s="20"/>
      <c r="K32" s="16"/>
      <c r="L32" s="16"/>
    </row>
    <row r="33" spans="1:12" ht="15.75" customHeight="1" x14ac:dyDescent="0.25">
      <c r="A33" s="14"/>
      <c r="B33" s="14"/>
      <c r="C33" s="14"/>
      <c r="D33" s="15"/>
      <c r="E33" s="16"/>
      <c r="F33" s="17"/>
      <c r="G33" s="15"/>
      <c r="H33" s="18"/>
      <c r="I33" s="19"/>
      <c r="J33" s="20"/>
      <c r="K33" s="16"/>
      <c r="L33" s="16"/>
    </row>
    <row r="34" spans="1:12" ht="15.75" customHeight="1" x14ac:dyDescent="0.25">
      <c r="A34" s="14"/>
      <c r="B34" s="14"/>
      <c r="C34" s="14"/>
      <c r="D34" s="15"/>
      <c r="E34" s="16"/>
      <c r="F34" s="17"/>
      <c r="G34" s="15"/>
      <c r="H34" s="18"/>
      <c r="I34" s="19"/>
      <c r="J34" s="20"/>
      <c r="K34" s="16"/>
      <c r="L34" s="16"/>
    </row>
    <row r="35" spans="1:12" ht="15.75" customHeight="1" x14ac:dyDescent="0.25">
      <c r="A35" s="14"/>
      <c r="B35" s="14"/>
      <c r="C35" s="14"/>
      <c r="D35" s="15"/>
      <c r="E35" s="16"/>
      <c r="F35" s="17"/>
      <c r="G35" s="15"/>
      <c r="H35" s="18"/>
      <c r="I35" s="19"/>
      <c r="J35" s="20"/>
      <c r="K35" s="16"/>
      <c r="L35" s="16"/>
    </row>
    <row r="36" spans="1:12" ht="15.75" customHeight="1" x14ac:dyDescent="0.25">
      <c r="A36" s="14"/>
      <c r="B36" s="14"/>
      <c r="C36" s="14"/>
      <c r="D36" s="15"/>
      <c r="E36" s="16"/>
      <c r="F36" s="17"/>
      <c r="G36" s="15"/>
      <c r="H36" s="18"/>
      <c r="I36" s="19"/>
      <c r="J36" s="20"/>
      <c r="K36" s="16"/>
      <c r="L36" s="16"/>
    </row>
    <row r="37" spans="1:12" ht="15.75" customHeight="1" x14ac:dyDescent="0.25">
      <c r="A37" s="14"/>
      <c r="B37" s="14"/>
      <c r="C37" s="14"/>
      <c r="D37" s="15"/>
      <c r="E37" s="16"/>
      <c r="F37" s="17"/>
      <c r="G37" s="15"/>
      <c r="H37" s="18"/>
      <c r="I37" s="19"/>
      <c r="J37" s="20"/>
      <c r="K37" s="16"/>
      <c r="L37" s="16"/>
    </row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</sheetData>
  <sortState ref="A1:J8">
    <sortCondition ref="A1"/>
  </sortState>
  <mergeCells count="5">
    <mergeCell ref="A21:L25"/>
    <mergeCell ref="A1:L1"/>
    <mergeCell ref="A10:L10"/>
    <mergeCell ref="A15:L15"/>
    <mergeCell ref="A18:L18"/>
  </mergeCells>
  <pageMargins left="0.7" right="0.7" top="0.78740157499999996" bottom="0.78740157499999996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topLeftCell="AA1" workbookViewId="0">
      <selection activeCell="AA1" sqref="AA1"/>
    </sheetView>
  </sheetViews>
  <sheetFormatPr baseColWidth="10" defaultRowHeight="18.75" x14ac:dyDescent="0.3"/>
  <cols>
    <col min="1" max="26" width="3.7109375" style="37" hidden="1" customWidth="1"/>
    <col min="27" max="27" width="3.7109375" style="37" customWidth="1"/>
    <col min="28" max="28" width="21.7109375" style="37" customWidth="1"/>
    <col min="29" max="30" width="7.7109375" style="37" customWidth="1"/>
    <col min="31" max="31" width="7.7109375" style="37" hidden="1" customWidth="1"/>
    <col min="32" max="33" width="7.7109375" style="37" customWidth="1"/>
    <col min="34" max="36" width="11.42578125" style="37"/>
    <col min="38" max="16384" width="11.42578125" style="37"/>
  </cols>
  <sheetData>
    <row r="1" spans="1:37" ht="19.5" thickBot="1" x14ac:dyDescent="0.35">
      <c r="A1" s="37" t="s">
        <v>108</v>
      </c>
      <c r="S1" s="37" t="s">
        <v>112</v>
      </c>
      <c r="AK1" s="37"/>
    </row>
    <row r="2" spans="1:37" x14ac:dyDescent="0.3">
      <c r="A2" s="37" t="s">
        <v>136</v>
      </c>
      <c r="C2" s="37" t="s">
        <v>137</v>
      </c>
      <c r="E2" s="37" t="s">
        <v>138</v>
      </c>
      <c r="G2" s="37" t="s">
        <v>139</v>
      </c>
      <c r="I2" s="37" t="s">
        <v>140</v>
      </c>
      <c r="K2" s="37" t="s">
        <v>141</v>
      </c>
      <c r="M2" s="37" t="s">
        <v>142</v>
      </c>
      <c r="O2" s="37" t="s">
        <v>143</v>
      </c>
      <c r="Q2" s="37" t="s">
        <v>144</v>
      </c>
      <c r="S2" s="37" t="s">
        <v>145</v>
      </c>
      <c r="U2" s="37" t="s">
        <v>146</v>
      </c>
      <c r="W2" s="37" t="s">
        <v>147</v>
      </c>
      <c r="Y2" s="37" t="s">
        <v>148</v>
      </c>
      <c r="AB2" s="38"/>
      <c r="AC2" s="169" t="s">
        <v>117</v>
      </c>
      <c r="AD2" s="169"/>
      <c r="AE2" s="43"/>
      <c r="AF2" s="39" t="s">
        <v>118</v>
      </c>
      <c r="AG2" s="40" t="s">
        <v>119</v>
      </c>
      <c r="AK2" s="37"/>
    </row>
    <row r="3" spans="1:37" x14ac:dyDescent="0.3">
      <c r="A3" s="37">
        <f>IF(Gruppenphase!$B1=VALUE(RIGHT(Tore!A$2,1)),1,0)</f>
        <v>1</v>
      </c>
      <c r="B3" s="37">
        <f>IF(OR(Gruppenphase!$P1=0,A3=0),"",ROUNDDOWN(SUM(Gruppenphase!$I1:$K1),0)*Tore!A3)</f>
        <v>3</v>
      </c>
      <c r="C3" s="37">
        <f>IF(Gruppenphase!$B1=VALUE(RIGHT(Tore!C$2,1)),1,0)</f>
        <v>0</v>
      </c>
      <c r="D3" s="37" t="str">
        <f>IF(OR(Gruppenphase!$P1=0,C3=0),"",ROUNDDOWN(SUM(Gruppenphase!$I1:$K1),0)*Tore!C3)</f>
        <v/>
      </c>
      <c r="E3" s="37">
        <f>IF(Gruppenphase!$B1=VALUE(RIGHT(Tore!E$2,1)),1,0)</f>
        <v>0</v>
      </c>
      <c r="F3" s="37" t="str">
        <f>IF(OR(Gruppenphase!$P1=0,E3=0),"",ROUNDDOWN(SUM(Gruppenphase!$I1:$K1),0)*Tore!E3)</f>
        <v/>
      </c>
      <c r="G3" s="37">
        <f>IF(Gruppenphase!$C1=RIGHT(Tore!G$2,1),1,0)</f>
        <v>1</v>
      </c>
      <c r="H3" s="37">
        <f>IF(OR(Gruppenphase!$P1=0,G3=0),"",ROUNDDOWN(SUM(Gruppenphase!$I1:$K1),0)*Tore!G3)</f>
        <v>3</v>
      </c>
      <c r="I3" s="37">
        <f>IF(Gruppenphase!$C1=RIGHT(Tore!I$2,1),1,0)</f>
        <v>0</v>
      </c>
      <c r="J3" s="37" t="str">
        <f>IF(OR(Gruppenphase!$P1=0,I3=0),"",ROUNDDOWN(SUM(Gruppenphase!$I1:$K1),0)*Tore!I3)</f>
        <v/>
      </c>
      <c r="K3" s="37">
        <f>IF(Gruppenphase!$C1=RIGHT(Tore!K$2,1),1,0)</f>
        <v>0</v>
      </c>
      <c r="L3" s="37" t="str">
        <f>IF(OR(Gruppenphase!$P1=0,K3=0),"",ROUNDDOWN(SUM(Gruppenphase!$I1:$K1),0)*Tore!K3)</f>
        <v/>
      </c>
      <c r="M3" s="37">
        <f>IF(Gruppenphase!$C1=RIGHT(Tore!M$2,1),1,0)</f>
        <v>0</v>
      </c>
      <c r="N3" s="37" t="str">
        <f>IF(OR(Gruppenphase!$P1=0,M3=0),"",ROUNDDOWN(SUM(Gruppenphase!$I1:$K1),0)*Tore!M3)</f>
        <v/>
      </c>
      <c r="O3" s="37">
        <f>IF(Gruppenphase!$C1=RIGHT(Tore!O$2,1),1,0)</f>
        <v>0</v>
      </c>
      <c r="P3" s="37" t="str">
        <f>IF(OR(Gruppenphase!$P1=0,O3=0),"",ROUNDDOWN(SUM(Gruppenphase!$I1:$K1),0)*Tore!O3)</f>
        <v/>
      </c>
      <c r="Q3" s="37">
        <f>IF(Gruppenphase!$C1=RIGHT(Tore!Q$2,1),1,0)</f>
        <v>0</v>
      </c>
      <c r="R3" s="37" t="str">
        <f>IF(OR(Gruppenphase!$P1=0,Q3=0),"",ROUNDDOWN(SUM(Gruppenphase!$I1:$K1),0)*Tore!Q3)</f>
        <v/>
      </c>
      <c r="S3" s="37">
        <f>IF(LEFT('KO-Phase'!$B2,2)=Tore!S$2,1,0)</f>
        <v>1</v>
      </c>
      <c r="T3" s="37" t="str">
        <f>IF(OR(ISBLANK('KO-Phase'!$H2),ISBLANK('KO-Phase'!$J2),S3=0),"",ROUNDDOWN(SUM('KO-Phase'!$H2:$J2),0)*Tore!S3)</f>
        <v/>
      </c>
      <c r="U3" s="37">
        <f>IF(LEFT('KO-Phase'!$B2,2)=Tore!U$2,1,0)</f>
        <v>0</v>
      </c>
      <c r="V3" s="37" t="str">
        <f>IF(OR(ISBLANK('KO-Phase'!$H2),ISBLANK('KO-Phase'!$J2),U3=0),"",ROUNDDOWN(SUM('KO-Phase'!$H2:$J2),0)*Tore!U3)</f>
        <v/>
      </c>
      <c r="W3" s="37">
        <f>IF(LEFT('KO-Phase'!$B2,2)=Tore!W$2,1,0)</f>
        <v>0</v>
      </c>
      <c r="X3" s="37" t="str">
        <f>IF(OR(ISBLANK('KO-Phase'!$H2),ISBLANK('KO-Phase'!$J2),W3=0),"",ROUNDDOWN(SUM('KO-Phase'!$H2:$J2),0)*Tore!W3)</f>
        <v/>
      </c>
      <c r="Y3" s="37">
        <f>IF(LEFT('KO-Phase'!$B2,2)=Tore!Y$2,1,0)</f>
        <v>0</v>
      </c>
      <c r="Z3" s="37" t="str">
        <f>IF(OR(ISBLANK('KO-Phase'!$H2),ISBLANK('KO-Phase'!$J2),Y3=0),"",ROUNDDOWN(SUM('KO-Phase'!$H2:$J2),0)*Tore!Y3)</f>
        <v/>
      </c>
      <c r="AB3" s="44" t="s">
        <v>109</v>
      </c>
      <c r="AC3" s="55">
        <f>COUNT(B:B)</f>
        <v>12</v>
      </c>
      <c r="AD3" s="55">
        <f t="shared" ref="AD3:AD18" si="0">AC3/AE3</f>
        <v>1</v>
      </c>
      <c r="AE3" s="56">
        <f>SUM(A:A)</f>
        <v>12</v>
      </c>
      <c r="AF3" s="55">
        <f>SUM(B:B)</f>
        <v>28</v>
      </c>
      <c r="AG3" s="57">
        <f t="shared" ref="AG3:AG18" si="1">IF(AC3=0,"-",AF3/AC3)</f>
        <v>2.3333333333333335</v>
      </c>
      <c r="AK3" s="37"/>
    </row>
    <row r="4" spans="1:37" x14ac:dyDescent="0.3">
      <c r="A4" s="37">
        <f>IF(Gruppenphase!$B2=VALUE(RIGHT(Tore!A$2,1)),1,0)</f>
        <v>1</v>
      </c>
      <c r="B4" s="37">
        <f>IF(OR(Gruppenphase!$P2=0,A4=0),"",ROUNDDOWN(SUM(Gruppenphase!$I2:$K2),0)*Tore!A4)</f>
        <v>2</v>
      </c>
      <c r="C4" s="37">
        <f>IF(Gruppenphase!$B2=VALUE(RIGHT(Tore!C$2,1)),1,0)</f>
        <v>0</v>
      </c>
      <c r="D4" s="37" t="str">
        <f>IF(OR(Gruppenphase!$P2=0,C4=0),"",ROUNDDOWN(SUM(Gruppenphase!$I2:$K2),0)*Tore!C4)</f>
        <v/>
      </c>
      <c r="E4" s="37">
        <f>IF(Gruppenphase!$B2=VALUE(RIGHT(Tore!E$2,1)),1,0)</f>
        <v>0</v>
      </c>
      <c r="F4" s="37" t="str">
        <f>IF(OR(Gruppenphase!$P2=0,E4=0),"",ROUNDDOWN(SUM(Gruppenphase!$I2:$K2),0)*Tore!E4)</f>
        <v/>
      </c>
      <c r="G4" s="37">
        <f>IF(Gruppenphase!$C2=RIGHT(Tore!G$2,1),1,0)</f>
        <v>1</v>
      </c>
      <c r="H4" s="37">
        <f>IF(OR(Gruppenphase!$P2=0,G4=0),"",ROUNDDOWN(SUM(Gruppenphase!$I2:$K2),0)*Tore!G4)</f>
        <v>2</v>
      </c>
      <c r="I4" s="37">
        <f>IF(Gruppenphase!$C2=RIGHT(Tore!I$2,1),1,0)</f>
        <v>0</v>
      </c>
      <c r="J4" s="37" t="str">
        <f>IF(OR(Gruppenphase!$P2=0,I4=0),"",ROUNDDOWN(SUM(Gruppenphase!$I2:$K2),0)*Tore!I4)</f>
        <v/>
      </c>
      <c r="K4" s="37">
        <f>IF(Gruppenphase!$C2=RIGHT(Tore!K$2,1),1,0)</f>
        <v>0</v>
      </c>
      <c r="L4" s="37" t="str">
        <f>IF(OR(Gruppenphase!$P2=0,K4=0),"",ROUNDDOWN(SUM(Gruppenphase!$I2:$K2),0)*Tore!K4)</f>
        <v/>
      </c>
      <c r="M4" s="37">
        <f>IF(Gruppenphase!$C2=RIGHT(Tore!M$2,1),1,0)</f>
        <v>0</v>
      </c>
      <c r="N4" s="37" t="str">
        <f>IF(OR(Gruppenphase!$P2=0,M4=0),"",ROUNDDOWN(SUM(Gruppenphase!$I2:$K2),0)*Tore!M4)</f>
        <v/>
      </c>
      <c r="O4" s="37">
        <f>IF(Gruppenphase!$C2=RIGHT(Tore!O$2,1),1,0)</f>
        <v>0</v>
      </c>
      <c r="P4" s="37" t="str">
        <f>IF(OR(Gruppenphase!$P2=0,O4=0),"",ROUNDDOWN(SUM(Gruppenphase!$I2:$K2),0)*Tore!O4)</f>
        <v/>
      </c>
      <c r="Q4" s="37">
        <f>IF(Gruppenphase!$C2=RIGHT(Tore!Q$2,1),1,0)</f>
        <v>0</v>
      </c>
      <c r="R4" s="37" t="str">
        <f>IF(OR(Gruppenphase!$P2=0,Q4=0),"",ROUNDDOWN(SUM(Gruppenphase!$I2:$K2),0)*Tore!Q4)</f>
        <v/>
      </c>
      <c r="S4" s="37">
        <f>IF(LEFT('KO-Phase'!$B3,2)=Tore!S$2,1,0)</f>
        <v>1</v>
      </c>
      <c r="T4" s="37" t="str">
        <f>IF(OR(ISBLANK('KO-Phase'!$H3),ISBLANK('KO-Phase'!$J3),S4=0),"",ROUNDDOWN(SUM('KO-Phase'!$H3:$J3),0)*Tore!S4)</f>
        <v/>
      </c>
      <c r="U4" s="37">
        <f>IF(LEFT('KO-Phase'!$B3,2)=Tore!U$2,1,0)</f>
        <v>0</v>
      </c>
      <c r="V4" s="37" t="str">
        <f>IF(OR(ISBLANK('KO-Phase'!$H3),ISBLANK('KO-Phase'!$J3),U4=0),"",ROUNDDOWN(SUM('KO-Phase'!$H3:$J3),0)*Tore!U4)</f>
        <v/>
      </c>
      <c r="W4" s="37">
        <f>IF(LEFT('KO-Phase'!$B3,2)=Tore!W$2,1,0)</f>
        <v>0</v>
      </c>
      <c r="X4" s="37" t="str">
        <f>IF(OR(ISBLANK('KO-Phase'!$H3),ISBLANK('KO-Phase'!$J3),W4=0),"",ROUNDDOWN(SUM('KO-Phase'!$H3:$J3),0)*Tore!W4)</f>
        <v/>
      </c>
      <c r="Y4" s="37">
        <f>IF(LEFT('KO-Phase'!$B3,2)=Tore!Y$2,1,0)</f>
        <v>0</v>
      </c>
      <c r="Z4" s="37" t="str">
        <f>IF(OR(ISBLANK('KO-Phase'!$H3),ISBLANK('KO-Phase'!$J3),Y4=0),"",ROUNDDOWN(SUM('KO-Phase'!$H3:$J3),0)*Tore!Y4)</f>
        <v/>
      </c>
      <c r="AB4" s="45" t="s">
        <v>110</v>
      </c>
      <c r="AC4" s="58">
        <f>COUNT(D:D)</f>
        <v>12</v>
      </c>
      <c r="AD4" s="58">
        <f t="shared" si="0"/>
        <v>1</v>
      </c>
      <c r="AE4" s="59">
        <f>SUM(C:C)</f>
        <v>12</v>
      </c>
      <c r="AF4" s="58">
        <f>SUM(D:D)</f>
        <v>27</v>
      </c>
      <c r="AG4" s="60">
        <f t="shared" si="1"/>
        <v>2.25</v>
      </c>
      <c r="AK4" s="37"/>
    </row>
    <row r="5" spans="1:37" x14ac:dyDescent="0.3">
      <c r="A5" s="37">
        <f>IF(Gruppenphase!$B3=VALUE(RIGHT(Tore!A$2,1)),1,0)</f>
        <v>1</v>
      </c>
      <c r="B5" s="37">
        <f>IF(OR(Gruppenphase!$P3=0,A5=0),"",ROUNDDOWN(SUM(Gruppenphase!$I3:$K3),0)*Tore!A5)</f>
        <v>1</v>
      </c>
      <c r="C5" s="37">
        <f>IF(Gruppenphase!$B3=VALUE(RIGHT(Tore!C$2,1)),1,0)</f>
        <v>0</v>
      </c>
      <c r="D5" s="37" t="str">
        <f>IF(OR(Gruppenphase!$P3=0,C5=0),"",ROUNDDOWN(SUM(Gruppenphase!$I3:$K3),0)*Tore!C5)</f>
        <v/>
      </c>
      <c r="E5" s="37">
        <f>IF(Gruppenphase!$B3=VALUE(RIGHT(Tore!E$2,1)),1,0)</f>
        <v>0</v>
      </c>
      <c r="F5" s="37" t="str">
        <f>IF(OR(Gruppenphase!$P3=0,E5=0),"",ROUNDDOWN(SUM(Gruppenphase!$I3:$K3),0)*Tore!E5)</f>
        <v/>
      </c>
      <c r="G5" s="37">
        <f>IF(Gruppenphase!$C3=RIGHT(Tore!G$2,1),1,0)</f>
        <v>0</v>
      </c>
      <c r="H5" s="37" t="str">
        <f>IF(OR(Gruppenphase!$P3=0,G5=0),"",ROUNDDOWN(SUM(Gruppenphase!$I3:$K3),0)*Tore!G5)</f>
        <v/>
      </c>
      <c r="I5" s="37">
        <f>IF(Gruppenphase!$C3=RIGHT(Tore!I$2,1),1,0)</f>
        <v>1</v>
      </c>
      <c r="J5" s="37">
        <f>IF(OR(Gruppenphase!$P3=0,I5=0),"",ROUNDDOWN(SUM(Gruppenphase!$I3:$K3),0)*Tore!I5)</f>
        <v>1</v>
      </c>
      <c r="K5" s="37">
        <f>IF(Gruppenphase!$C3=RIGHT(Tore!K$2,1),1,0)</f>
        <v>0</v>
      </c>
      <c r="L5" s="37" t="str">
        <f>IF(OR(Gruppenphase!$P3=0,K5=0),"",ROUNDDOWN(SUM(Gruppenphase!$I3:$K3),0)*Tore!K5)</f>
        <v/>
      </c>
      <c r="M5" s="37">
        <f>IF(Gruppenphase!$C3=RIGHT(Tore!M$2,1),1,0)</f>
        <v>0</v>
      </c>
      <c r="N5" s="37" t="str">
        <f>IF(OR(Gruppenphase!$P3=0,M5=0),"",ROUNDDOWN(SUM(Gruppenphase!$I3:$K3),0)*Tore!M5)</f>
        <v/>
      </c>
      <c r="O5" s="37">
        <f>IF(Gruppenphase!$C3=RIGHT(Tore!O$2,1),1,0)</f>
        <v>0</v>
      </c>
      <c r="P5" s="37" t="str">
        <f>IF(OR(Gruppenphase!$P3=0,O5=0),"",ROUNDDOWN(SUM(Gruppenphase!$I3:$K3),0)*Tore!O5)</f>
        <v/>
      </c>
      <c r="Q5" s="37">
        <f>IF(Gruppenphase!$C3=RIGHT(Tore!Q$2,1),1,0)</f>
        <v>0</v>
      </c>
      <c r="R5" s="37" t="str">
        <f>IF(OR(Gruppenphase!$P3=0,Q5=0),"",ROUNDDOWN(SUM(Gruppenphase!$I3:$K3),0)*Tore!Q5)</f>
        <v/>
      </c>
      <c r="S5" s="37">
        <f>IF(LEFT('KO-Phase'!$B4,2)=Tore!S$2,1,0)</f>
        <v>1</v>
      </c>
      <c r="T5" s="37" t="str">
        <f>IF(OR(ISBLANK('KO-Phase'!$H4),ISBLANK('KO-Phase'!$J4),S5=0),"",ROUNDDOWN(SUM('KO-Phase'!$H4:$J4),0)*Tore!S5)</f>
        <v/>
      </c>
      <c r="U5" s="37">
        <f>IF(LEFT('KO-Phase'!$B4,2)=Tore!U$2,1,0)</f>
        <v>0</v>
      </c>
      <c r="V5" s="37" t="str">
        <f>IF(OR(ISBLANK('KO-Phase'!$H4),ISBLANK('KO-Phase'!$J4),U5=0),"",ROUNDDOWN(SUM('KO-Phase'!$H4:$J4),0)*Tore!U5)</f>
        <v/>
      </c>
      <c r="W5" s="37">
        <f>IF(LEFT('KO-Phase'!$B4,2)=Tore!W$2,1,0)</f>
        <v>0</v>
      </c>
      <c r="X5" s="37" t="str">
        <f>IF(OR(ISBLANK('KO-Phase'!$H4),ISBLANK('KO-Phase'!$J4),W5=0),"",ROUNDDOWN(SUM('KO-Phase'!$H4:$J4),0)*Tore!W5)</f>
        <v/>
      </c>
      <c r="Y5" s="37">
        <f>IF(LEFT('KO-Phase'!$B4,2)=Tore!Y$2,1,0)</f>
        <v>0</v>
      </c>
      <c r="Z5" s="37" t="str">
        <f>IF(OR(ISBLANK('KO-Phase'!$H4),ISBLANK('KO-Phase'!$J4),Y5=0),"",ROUNDDOWN(SUM('KO-Phase'!$H4:$J4),0)*Tore!Y5)</f>
        <v/>
      </c>
      <c r="AB5" s="54" t="s">
        <v>111</v>
      </c>
      <c r="AC5" s="61">
        <f>COUNT(F:F)</f>
        <v>12</v>
      </c>
      <c r="AD5" s="61">
        <f t="shared" si="0"/>
        <v>1</v>
      </c>
      <c r="AE5" s="62">
        <f>SUM(E:E)</f>
        <v>12</v>
      </c>
      <c r="AF5" s="61">
        <f>SUM(F:F)</f>
        <v>39</v>
      </c>
      <c r="AG5" s="63">
        <f t="shared" si="1"/>
        <v>3.25</v>
      </c>
      <c r="AK5" s="37"/>
    </row>
    <row r="6" spans="1:37" x14ac:dyDescent="0.3">
      <c r="A6" s="37">
        <f>IF(Gruppenphase!$B4=VALUE(RIGHT(Tore!A$2,1)),1,0)</f>
        <v>1</v>
      </c>
      <c r="B6" s="37">
        <f>IF(OR(Gruppenphase!$P4=0,A6=0),"",ROUNDDOWN(SUM(Gruppenphase!$I4:$K4),0)*Tore!A6)</f>
        <v>3</v>
      </c>
      <c r="C6" s="37">
        <f>IF(Gruppenphase!$B4=VALUE(RIGHT(Tore!C$2,1)),1,0)</f>
        <v>0</v>
      </c>
      <c r="D6" s="37" t="str">
        <f>IF(OR(Gruppenphase!$P4=0,C6=0),"",ROUNDDOWN(SUM(Gruppenphase!$I4:$K4),0)*Tore!C6)</f>
        <v/>
      </c>
      <c r="E6" s="37">
        <f>IF(Gruppenphase!$B4=VALUE(RIGHT(Tore!E$2,1)),1,0)</f>
        <v>0</v>
      </c>
      <c r="F6" s="37" t="str">
        <f>IF(OR(Gruppenphase!$P4=0,E6=0),"",ROUNDDOWN(SUM(Gruppenphase!$I4:$K4),0)*Tore!E6)</f>
        <v/>
      </c>
      <c r="G6" s="37">
        <f>IF(Gruppenphase!$C4=RIGHT(Tore!G$2,1),1,0)</f>
        <v>0</v>
      </c>
      <c r="H6" s="37" t="str">
        <f>IF(OR(Gruppenphase!$P4=0,G6=0),"",ROUNDDOWN(SUM(Gruppenphase!$I4:$K4),0)*Tore!G6)</f>
        <v/>
      </c>
      <c r="I6" s="37">
        <f>IF(Gruppenphase!$C4=RIGHT(Tore!I$2,1),1,0)</f>
        <v>1</v>
      </c>
      <c r="J6" s="37">
        <f>IF(OR(Gruppenphase!$P4=0,I6=0),"",ROUNDDOWN(SUM(Gruppenphase!$I4:$K4),0)*Tore!I6)</f>
        <v>3</v>
      </c>
      <c r="K6" s="37">
        <f>IF(Gruppenphase!$C4=RIGHT(Tore!K$2,1),1,0)</f>
        <v>0</v>
      </c>
      <c r="L6" s="37" t="str">
        <f>IF(OR(Gruppenphase!$P4=0,K6=0),"",ROUNDDOWN(SUM(Gruppenphase!$I4:$K4),0)*Tore!K6)</f>
        <v/>
      </c>
      <c r="M6" s="37">
        <f>IF(Gruppenphase!$C4=RIGHT(Tore!M$2,1),1,0)</f>
        <v>0</v>
      </c>
      <c r="N6" s="37" t="str">
        <f>IF(OR(Gruppenphase!$P4=0,M6=0),"",ROUNDDOWN(SUM(Gruppenphase!$I4:$K4),0)*Tore!M6)</f>
        <v/>
      </c>
      <c r="O6" s="37">
        <f>IF(Gruppenphase!$C4=RIGHT(Tore!O$2,1),1,0)</f>
        <v>0</v>
      </c>
      <c r="P6" s="37" t="str">
        <f>IF(OR(Gruppenphase!$P4=0,O6=0),"",ROUNDDOWN(SUM(Gruppenphase!$I4:$K4),0)*Tore!O6)</f>
        <v/>
      </c>
      <c r="Q6" s="37">
        <f>IF(Gruppenphase!$C4=RIGHT(Tore!Q$2,1),1,0)</f>
        <v>0</v>
      </c>
      <c r="R6" s="37" t="str">
        <f>IF(OR(Gruppenphase!$P4=0,Q6=0),"",ROUNDDOWN(SUM(Gruppenphase!$I4:$K4),0)*Tore!Q6)</f>
        <v/>
      </c>
      <c r="S6" s="37">
        <f>IF(LEFT('KO-Phase'!$B5,2)=Tore!S$2,1,0)</f>
        <v>1</v>
      </c>
      <c r="T6" s="37" t="str">
        <f>IF(OR(ISBLANK('KO-Phase'!$H5),ISBLANK('KO-Phase'!$J5),S6=0),"",ROUNDDOWN(SUM('KO-Phase'!$H5:$J5),0)*Tore!S6)</f>
        <v/>
      </c>
      <c r="U6" s="37">
        <f>IF(LEFT('KO-Phase'!$B5,2)=Tore!U$2,1,0)</f>
        <v>0</v>
      </c>
      <c r="V6" s="37" t="str">
        <f>IF(OR(ISBLANK('KO-Phase'!$H5),ISBLANK('KO-Phase'!$J5),U6=0),"",ROUNDDOWN(SUM('KO-Phase'!$H5:$J5),0)*Tore!U6)</f>
        <v/>
      </c>
      <c r="W6" s="37">
        <f>IF(LEFT('KO-Phase'!$B5,2)=Tore!W$2,1,0)</f>
        <v>0</v>
      </c>
      <c r="X6" s="37" t="str">
        <f>IF(OR(ISBLANK('KO-Phase'!$H5),ISBLANK('KO-Phase'!$J5),W6=0),"",ROUNDDOWN(SUM('KO-Phase'!$H5:$J5),0)*Tore!W6)</f>
        <v/>
      </c>
      <c r="Y6" s="37">
        <f>IF(LEFT('KO-Phase'!$B5,2)=Tore!Y$2,1,0)</f>
        <v>0</v>
      </c>
      <c r="Z6" s="37" t="str">
        <f>IF(OR(ISBLANK('KO-Phase'!$H5),ISBLANK('KO-Phase'!$J5),Y6=0),"",ROUNDDOWN(SUM('KO-Phase'!$H5:$J5),0)*Tore!Y6)</f>
        <v/>
      </c>
      <c r="AB6" s="45" t="s">
        <v>68</v>
      </c>
      <c r="AC6" s="58">
        <f>COUNT(H:H)</f>
        <v>6</v>
      </c>
      <c r="AD6" s="58">
        <f t="shared" si="0"/>
        <v>1</v>
      </c>
      <c r="AE6" s="59">
        <f>SUM(G:G)</f>
        <v>6</v>
      </c>
      <c r="AF6" s="58">
        <f>SUM(H:H)</f>
        <v>15</v>
      </c>
      <c r="AG6" s="60">
        <f t="shared" si="1"/>
        <v>2.5</v>
      </c>
      <c r="AK6" s="37"/>
    </row>
    <row r="7" spans="1:37" x14ac:dyDescent="0.3">
      <c r="A7" s="37">
        <f>IF(Gruppenphase!$B5=VALUE(RIGHT(Tore!A$2,1)),1,0)</f>
        <v>1</v>
      </c>
      <c r="B7" s="37">
        <f>IF(OR(Gruppenphase!$P5=0,A7=0),"",ROUNDDOWN(SUM(Gruppenphase!$I5:$K5),0)*Tore!A7)</f>
        <v>1</v>
      </c>
      <c r="C7" s="37">
        <f>IF(Gruppenphase!$B5=VALUE(RIGHT(Tore!C$2,1)),1,0)</f>
        <v>0</v>
      </c>
      <c r="D7" s="37" t="str">
        <f>IF(OR(Gruppenphase!$P5=0,C7=0),"",ROUNDDOWN(SUM(Gruppenphase!$I5:$K5),0)*Tore!C7)</f>
        <v/>
      </c>
      <c r="E7" s="37">
        <f>IF(Gruppenphase!$B5=VALUE(RIGHT(Tore!E$2,1)),1,0)</f>
        <v>0</v>
      </c>
      <c r="F7" s="37" t="str">
        <f>IF(OR(Gruppenphase!$P5=0,E7=0),"",ROUNDDOWN(SUM(Gruppenphase!$I5:$K5),0)*Tore!E7)</f>
        <v/>
      </c>
      <c r="G7" s="37">
        <f>IF(Gruppenphase!$C5=RIGHT(Tore!G$2,1),1,0)</f>
        <v>0</v>
      </c>
      <c r="H7" s="37" t="str">
        <f>IF(OR(Gruppenphase!$P5=0,G7=0),"",ROUNDDOWN(SUM(Gruppenphase!$I5:$K5),0)*Tore!G7)</f>
        <v/>
      </c>
      <c r="I7" s="37">
        <f>IF(Gruppenphase!$C5=RIGHT(Tore!I$2,1),1,0)</f>
        <v>0</v>
      </c>
      <c r="J7" s="37" t="str">
        <f>IF(OR(Gruppenphase!$P5=0,I7=0),"",ROUNDDOWN(SUM(Gruppenphase!$I5:$K5),0)*Tore!I7)</f>
        <v/>
      </c>
      <c r="K7" s="37">
        <f>IF(Gruppenphase!$C5=RIGHT(Tore!K$2,1),1,0)</f>
        <v>0</v>
      </c>
      <c r="L7" s="37" t="str">
        <f>IF(OR(Gruppenphase!$P5=0,K7=0),"",ROUNDDOWN(SUM(Gruppenphase!$I5:$K5),0)*Tore!K7)</f>
        <v/>
      </c>
      <c r="M7" s="37">
        <f>IF(Gruppenphase!$C5=RIGHT(Tore!M$2,1),1,0)</f>
        <v>1</v>
      </c>
      <c r="N7" s="37">
        <f>IF(OR(Gruppenphase!$P5=0,M7=0),"",ROUNDDOWN(SUM(Gruppenphase!$I5:$K5),0)*Tore!M7)</f>
        <v>1</v>
      </c>
      <c r="O7" s="37">
        <f>IF(Gruppenphase!$C5=RIGHT(Tore!O$2,1),1,0)</f>
        <v>0</v>
      </c>
      <c r="P7" s="37" t="str">
        <f>IF(OR(Gruppenphase!$P5=0,O7=0),"",ROUNDDOWN(SUM(Gruppenphase!$I5:$K5),0)*Tore!O7)</f>
        <v/>
      </c>
      <c r="Q7" s="37">
        <f>IF(Gruppenphase!$C5=RIGHT(Tore!Q$2,1),1,0)</f>
        <v>0</v>
      </c>
      <c r="R7" s="37" t="str">
        <f>IF(OR(Gruppenphase!$P5=0,Q7=0),"",ROUNDDOWN(SUM(Gruppenphase!$I5:$K5),0)*Tore!Q7)</f>
        <v/>
      </c>
      <c r="S7" s="37">
        <f>IF(LEFT('KO-Phase'!$B6,2)=Tore!S$2,1,0)</f>
        <v>1</v>
      </c>
      <c r="T7" s="37" t="str">
        <f>IF(OR(ISBLANK('KO-Phase'!$H6),ISBLANK('KO-Phase'!$J6),S7=0),"",ROUNDDOWN(SUM('KO-Phase'!$H6:$J6),0)*Tore!S7)</f>
        <v/>
      </c>
      <c r="U7" s="37">
        <f>IF(LEFT('KO-Phase'!$B6,2)=Tore!U$2,1,0)</f>
        <v>0</v>
      </c>
      <c r="V7" s="37" t="str">
        <f>IF(OR(ISBLANK('KO-Phase'!$H6),ISBLANK('KO-Phase'!$J6),U7=0),"",ROUNDDOWN(SUM('KO-Phase'!$H6:$J6),0)*Tore!U7)</f>
        <v/>
      </c>
      <c r="W7" s="37">
        <f>IF(LEFT('KO-Phase'!$B6,2)=Tore!W$2,1,0)</f>
        <v>0</v>
      </c>
      <c r="X7" s="37" t="str">
        <f>IF(OR(ISBLANK('KO-Phase'!$H6),ISBLANK('KO-Phase'!$J6),W7=0),"",ROUNDDOWN(SUM('KO-Phase'!$H6:$J6),0)*Tore!W7)</f>
        <v/>
      </c>
      <c r="Y7" s="37">
        <f>IF(LEFT('KO-Phase'!$B6,2)=Tore!Y$2,1,0)</f>
        <v>0</v>
      </c>
      <c r="Z7" s="37" t="str">
        <f>IF(OR(ISBLANK('KO-Phase'!$H6),ISBLANK('KO-Phase'!$J6),Y7=0),"",ROUNDDOWN(SUM('KO-Phase'!$H6:$J6),0)*Tore!Y7)</f>
        <v/>
      </c>
      <c r="AB7" s="45" t="s">
        <v>75</v>
      </c>
      <c r="AC7" s="58">
        <f>COUNT(J:J)</f>
        <v>6</v>
      </c>
      <c r="AD7" s="58">
        <f t="shared" si="0"/>
        <v>1</v>
      </c>
      <c r="AE7" s="59">
        <f>SUM(I:I)</f>
        <v>6</v>
      </c>
      <c r="AF7" s="58">
        <f>SUM(J:J)</f>
        <v>15</v>
      </c>
      <c r="AG7" s="60">
        <f t="shared" si="1"/>
        <v>2.5</v>
      </c>
      <c r="AK7" s="37"/>
    </row>
    <row r="8" spans="1:37" x14ac:dyDescent="0.3">
      <c r="A8" s="37">
        <f>IF(Gruppenphase!$B6=VALUE(RIGHT(Tore!A$2,1)),1,0)</f>
        <v>1</v>
      </c>
      <c r="B8" s="37">
        <f>IF(OR(Gruppenphase!$P6=0,A8=0),"",ROUNDDOWN(SUM(Gruppenphase!$I6:$K6),0)*Tore!A8)</f>
        <v>4</v>
      </c>
      <c r="C8" s="37">
        <f>IF(Gruppenphase!$B6=VALUE(RIGHT(Tore!C$2,1)),1,0)</f>
        <v>0</v>
      </c>
      <c r="D8" s="37" t="str">
        <f>IF(OR(Gruppenphase!$P6=0,C8=0),"",ROUNDDOWN(SUM(Gruppenphase!$I6:$K6),0)*Tore!C8)</f>
        <v/>
      </c>
      <c r="E8" s="37">
        <f>IF(Gruppenphase!$B6=VALUE(RIGHT(Tore!E$2,1)),1,0)</f>
        <v>0</v>
      </c>
      <c r="F8" s="37" t="str">
        <f>IF(OR(Gruppenphase!$P6=0,E8=0),"",ROUNDDOWN(SUM(Gruppenphase!$I6:$K6),0)*Tore!E8)</f>
        <v/>
      </c>
      <c r="G8" s="37">
        <f>IF(Gruppenphase!$C6=RIGHT(Tore!G$2,1),1,0)</f>
        <v>0</v>
      </c>
      <c r="H8" s="37" t="str">
        <f>IF(OR(Gruppenphase!$P6=0,G8=0),"",ROUNDDOWN(SUM(Gruppenphase!$I6:$K6),0)*Tore!G8)</f>
        <v/>
      </c>
      <c r="I8" s="37">
        <f>IF(Gruppenphase!$C6=RIGHT(Tore!I$2,1),1,0)</f>
        <v>0</v>
      </c>
      <c r="J8" s="37" t="str">
        <f>IF(OR(Gruppenphase!$P6=0,I8=0),"",ROUNDDOWN(SUM(Gruppenphase!$I6:$K6),0)*Tore!I8)</f>
        <v/>
      </c>
      <c r="K8" s="37">
        <f>IF(Gruppenphase!$C6=RIGHT(Tore!K$2,1),1,0)</f>
        <v>1</v>
      </c>
      <c r="L8" s="37">
        <f>IF(OR(Gruppenphase!$P6=0,K8=0),"",ROUNDDOWN(SUM(Gruppenphase!$I6:$K6),0)*Tore!K8)</f>
        <v>4</v>
      </c>
      <c r="M8" s="37">
        <f>IF(Gruppenphase!$C6=RIGHT(Tore!M$2,1),1,0)</f>
        <v>0</v>
      </c>
      <c r="N8" s="37" t="str">
        <f>IF(OR(Gruppenphase!$P6=0,M8=0),"",ROUNDDOWN(SUM(Gruppenphase!$I6:$K6),0)*Tore!M8)</f>
        <v/>
      </c>
      <c r="O8" s="37">
        <f>IF(Gruppenphase!$C6=RIGHT(Tore!O$2,1),1,0)</f>
        <v>0</v>
      </c>
      <c r="P8" s="37" t="str">
        <f>IF(OR(Gruppenphase!$P6=0,O8=0),"",ROUNDDOWN(SUM(Gruppenphase!$I6:$K6),0)*Tore!O8)</f>
        <v/>
      </c>
      <c r="Q8" s="37">
        <f>IF(Gruppenphase!$C6=RIGHT(Tore!Q$2,1),1,0)</f>
        <v>0</v>
      </c>
      <c r="R8" s="37" t="str">
        <f>IF(OR(Gruppenphase!$P6=0,Q8=0),"",ROUNDDOWN(SUM(Gruppenphase!$I6:$K6),0)*Tore!Q8)</f>
        <v/>
      </c>
      <c r="S8" s="37">
        <f>IF(LEFT('KO-Phase'!$B7,2)=Tore!S$2,1,0)</f>
        <v>1</v>
      </c>
      <c r="T8" s="37" t="str">
        <f>IF(OR(ISBLANK('KO-Phase'!$H7),ISBLANK('KO-Phase'!$J7),S8=0),"",ROUNDDOWN(SUM('KO-Phase'!$H7:$J7),0)*Tore!S8)</f>
        <v/>
      </c>
      <c r="U8" s="37">
        <f>IF(LEFT('KO-Phase'!$B7,2)=Tore!U$2,1,0)</f>
        <v>0</v>
      </c>
      <c r="V8" s="37" t="str">
        <f>IF(OR(ISBLANK('KO-Phase'!$H7),ISBLANK('KO-Phase'!$J7),U8=0),"",ROUNDDOWN(SUM('KO-Phase'!$H7:$J7),0)*Tore!U8)</f>
        <v/>
      </c>
      <c r="W8" s="37">
        <f>IF(LEFT('KO-Phase'!$B7,2)=Tore!W$2,1,0)</f>
        <v>0</v>
      </c>
      <c r="X8" s="37" t="str">
        <f>IF(OR(ISBLANK('KO-Phase'!$H7),ISBLANK('KO-Phase'!$J7),W8=0),"",ROUNDDOWN(SUM('KO-Phase'!$H7:$J7),0)*Tore!W8)</f>
        <v/>
      </c>
      <c r="Y8" s="37">
        <f>IF(LEFT('KO-Phase'!$B7,2)=Tore!Y$2,1,0)</f>
        <v>0</v>
      </c>
      <c r="Z8" s="37" t="str">
        <f>IF(OR(ISBLANK('KO-Phase'!$H7),ISBLANK('KO-Phase'!$J7),Y8=0),"",ROUNDDOWN(SUM('KO-Phase'!$H7:$J7),0)*Tore!Y8)</f>
        <v/>
      </c>
      <c r="AB8" s="45" t="s">
        <v>76</v>
      </c>
      <c r="AC8" s="58">
        <f>COUNT(L:L)</f>
        <v>6</v>
      </c>
      <c r="AD8" s="58">
        <f t="shared" si="0"/>
        <v>1</v>
      </c>
      <c r="AE8" s="59">
        <f>SUM(K:K)</f>
        <v>6</v>
      </c>
      <c r="AF8" s="58">
        <f>SUM(L:L)</f>
        <v>18</v>
      </c>
      <c r="AG8" s="60">
        <f t="shared" si="1"/>
        <v>3</v>
      </c>
      <c r="AK8" s="37"/>
    </row>
    <row r="9" spans="1:37" x14ac:dyDescent="0.3">
      <c r="A9" s="37">
        <f>IF(Gruppenphase!$B7=VALUE(RIGHT(Tore!A$2,1)),1,0)</f>
        <v>1</v>
      </c>
      <c r="B9" s="37">
        <f>IF(OR(Gruppenphase!$P7=0,A9=0),"",ROUNDDOWN(SUM(Gruppenphase!$I7:$K7),0)*Tore!A9)</f>
        <v>5</v>
      </c>
      <c r="C9" s="37">
        <f>IF(Gruppenphase!$B7=VALUE(RIGHT(Tore!C$2,1)),1,0)</f>
        <v>0</v>
      </c>
      <c r="D9" s="37" t="str">
        <f>IF(OR(Gruppenphase!$P7=0,C9=0),"",ROUNDDOWN(SUM(Gruppenphase!$I7:$K7),0)*Tore!C9)</f>
        <v/>
      </c>
      <c r="E9" s="37">
        <f>IF(Gruppenphase!$B7=VALUE(RIGHT(Tore!E$2,1)),1,0)</f>
        <v>0</v>
      </c>
      <c r="F9" s="37" t="str">
        <f>IF(OR(Gruppenphase!$P7=0,E9=0),"",ROUNDDOWN(SUM(Gruppenphase!$I7:$K7),0)*Tore!E9)</f>
        <v/>
      </c>
      <c r="G9" s="37">
        <f>IF(Gruppenphase!$C7=RIGHT(Tore!G$2,1),1,0)</f>
        <v>0</v>
      </c>
      <c r="H9" s="37" t="str">
        <f>IF(OR(Gruppenphase!$P7=0,G9=0),"",ROUNDDOWN(SUM(Gruppenphase!$I7:$K7),0)*Tore!G9)</f>
        <v/>
      </c>
      <c r="I9" s="37">
        <f>IF(Gruppenphase!$C7=RIGHT(Tore!I$2,1),1,0)</f>
        <v>0</v>
      </c>
      <c r="J9" s="37" t="str">
        <f>IF(OR(Gruppenphase!$P7=0,I9=0),"",ROUNDDOWN(SUM(Gruppenphase!$I7:$K7),0)*Tore!I9)</f>
        <v/>
      </c>
      <c r="K9" s="37">
        <f>IF(Gruppenphase!$C7=RIGHT(Tore!K$2,1),1,0)</f>
        <v>1</v>
      </c>
      <c r="L9" s="37">
        <f>IF(OR(Gruppenphase!$P7=0,K9=0),"",ROUNDDOWN(SUM(Gruppenphase!$I7:$K7),0)*Tore!K9)</f>
        <v>5</v>
      </c>
      <c r="M9" s="37">
        <f>IF(Gruppenphase!$C7=RIGHT(Tore!M$2,1),1,0)</f>
        <v>0</v>
      </c>
      <c r="N9" s="37" t="str">
        <f>IF(OR(Gruppenphase!$P7=0,M9=0),"",ROUNDDOWN(SUM(Gruppenphase!$I7:$K7),0)*Tore!M9)</f>
        <v/>
      </c>
      <c r="O9" s="37">
        <f>IF(Gruppenphase!$C7=RIGHT(Tore!O$2,1),1,0)</f>
        <v>0</v>
      </c>
      <c r="P9" s="37" t="str">
        <f>IF(OR(Gruppenphase!$P7=0,O9=0),"",ROUNDDOWN(SUM(Gruppenphase!$I7:$K7),0)*Tore!O9)</f>
        <v/>
      </c>
      <c r="Q9" s="37">
        <f>IF(Gruppenphase!$C7=RIGHT(Tore!Q$2,1),1,0)</f>
        <v>0</v>
      </c>
      <c r="R9" s="37" t="str">
        <f>IF(OR(Gruppenphase!$P7=0,Q9=0),"",ROUNDDOWN(SUM(Gruppenphase!$I7:$K7),0)*Tore!Q9)</f>
        <v/>
      </c>
      <c r="S9" s="37">
        <f>IF(LEFT('KO-Phase'!$B8,2)=Tore!S$2,1,0)</f>
        <v>1</v>
      </c>
      <c r="T9" s="37" t="str">
        <f>IF(OR(ISBLANK('KO-Phase'!$H8),ISBLANK('KO-Phase'!$J8),S9=0),"",ROUNDDOWN(SUM('KO-Phase'!$H8:$J8),0)*Tore!S9)</f>
        <v/>
      </c>
      <c r="U9" s="37">
        <f>IF(LEFT('KO-Phase'!$B8,2)=Tore!U$2,1,0)</f>
        <v>0</v>
      </c>
      <c r="V9" s="37" t="str">
        <f>IF(OR(ISBLANK('KO-Phase'!$H8),ISBLANK('KO-Phase'!$J8),U9=0),"",ROUNDDOWN(SUM('KO-Phase'!$H8:$J8),0)*Tore!U9)</f>
        <v/>
      </c>
      <c r="W9" s="37">
        <f>IF(LEFT('KO-Phase'!$B8,2)=Tore!W$2,1,0)</f>
        <v>0</v>
      </c>
      <c r="X9" s="37" t="str">
        <f>IF(OR(ISBLANK('KO-Phase'!$H8),ISBLANK('KO-Phase'!$J8),W9=0),"",ROUNDDOWN(SUM('KO-Phase'!$H8:$J8),0)*Tore!W9)</f>
        <v/>
      </c>
      <c r="Y9" s="37">
        <f>IF(LEFT('KO-Phase'!$B8,2)=Tore!Y$2,1,0)</f>
        <v>0</v>
      </c>
      <c r="Z9" s="37" t="str">
        <f>IF(OR(ISBLANK('KO-Phase'!$H8),ISBLANK('KO-Phase'!$J8),Y9=0),"",ROUNDDOWN(SUM('KO-Phase'!$H8:$J8),0)*Tore!Y9)</f>
        <v/>
      </c>
      <c r="AB9" s="45" t="s">
        <v>77</v>
      </c>
      <c r="AC9" s="58">
        <f>COUNT(N:N)</f>
        <v>6</v>
      </c>
      <c r="AD9" s="58">
        <f t="shared" si="0"/>
        <v>1</v>
      </c>
      <c r="AE9" s="59">
        <f>SUM(M:M)</f>
        <v>6</v>
      </c>
      <c r="AF9" s="58">
        <f>SUM(N:N)</f>
        <v>10</v>
      </c>
      <c r="AG9" s="60">
        <f t="shared" si="1"/>
        <v>1.6666666666666667</v>
      </c>
      <c r="AK9" s="37"/>
    </row>
    <row r="10" spans="1:37" x14ac:dyDescent="0.3">
      <c r="A10" s="37">
        <f>IF(Gruppenphase!$B8=VALUE(RIGHT(Tore!A$2,1)),1,0)</f>
        <v>1</v>
      </c>
      <c r="B10" s="37">
        <f>IF(OR(Gruppenphase!$P8=0,A10=0),"",ROUNDDOWN(SUM(Gruppenphase!$I8:$K8),0)*Tore!A10)</f>
        <v>2</v>
      </c>
      <c r="C10" s="37">
        <f>IF(Gruppenphase!$B8=VALUE(RIGHT(Tore!C$2,1)),1,0)</f>
        <v>0</v>
      </c>
      <c r="D10" s="37" t="str">
        <f>IF(OR(Gruppenphase!$P8=0,C10=0),"",ROUNDDOWN(SUM(Gruppenphase!$I8:$K8),0)*Tore!C10)</f>
        <v/>
      </c>
      <c r="E10" s="37">
        <f>IF(Gruppenphase!$B8=VALUE(RIGHT(Tore!E$2,1)),1,0)</f>
        <v>0</v>
      </c>
      <c r="F10" s="37" t="str">
        <f>IF(OR(Gruppenphase!$P8=0,E10=0),"",ROUNDDOWN(SUM(Gruppenphase!$I8:$K8),0)*Tore!E10)</f>
        <v/>
      </c>
      <c r="G10" s="37">
        <f>IF(Gruppenphase!$C8=RIGHT(Tore!G$2,1),1,0)</f>
        <v>0</v>
      </c>
      <c r="H10" s="37" t="str">
        <f>IF(OR(Gruppenphase!$P8=0,G10=0),"",ROUNDDOWN(SUM(Gruppenphase!$I8:$K8),0)*Tore!G10)</f>
        <v/>
      </c>
      <c r="I10" s="37">
        <f>IF(Gruppenphase!$C8=RIGHT(Tore!I$2,1),1,0)</f>
        <v>0</v>
      </c>
      <c r="J10" s="37" t="str">
        <f>IF(OR(Gruppenphase!$P8=0,I10=0),"",ROUNDDOWN(SUM(Gruppenphase!$I8:$K8),0)*Tore!I10)</f>
        <v/>
      </c>
      <c r="K10" s="37">
        <f>IF(Gruppenphase!$C8=RIGHT(Tore!K$2,1),1,0)</f>
        <v>0</v>
      </c>
      <c r="L10" s="37" t="str">
        <f>IF(OR(Gruppenphase!$P8=0,K10=0),"",ROUNDDOWN(SUM(Gruppenphase!$I8:$K8),0)*Tore!K10)</f>
        <v/>
      </c>
      <c r="M10" s="37">
        <f>IF(Gruppenphase!$C8=RIGHT(Tore!M$2,1),1,0)</f>
        <v>1</v>
      </c>
      <c r="N10" s="37">
        <f>IF(OR(Gruppenphase!$P8=0,M10=0),"",ROUNDDOWN(SUM(Gruppenphase!$I8:$K8),0)*Tore!M10)</f>
        <v>2</v>
      </c>
      <c r="O10" s="37">
        <f>IF(Gruppenphase!$C8=RIGHT(Tore!O$2,1),1,0)</f>
        <v>0</v>
      </c>
      <c r="P10" s="37" t="str">
        <f>IF(OR(Gruppenphase!$P8=0,O10=0),"",ROUNDDOWN(SUM(Gruppenphase!$I8:$K8),0)*Tore!O10)</f>
        <v/>
      </c>
      <c r="Q10" s="37">
        <f>IF(Gruppenphase!$C8=RIGHT(Tore!Q$2,1),1,0)</f>
        <v>0</v>
      </c>
      <c r="R10" s="37" t="str">
        <f>IF(OR(Gruppenphase!$P8=0,Q10=0),"",ROUNDDOWN(SUM(Gruppenphase!$I8:$K8),0)*Tore!Q10)</f>
        <v/>
      </c>
      <c r="S10" s="37">
        <f>IF(LEFT('KO-Phase'!$B9,2)=Tore!S$2,1,0)</f>
        <v>1</v>
      </c>
      <c r="T10" s="37" t="str">
        <f>IF(OR(ISBLANK('KO-Phase'!$H9),ISBLANK('KO-Phase'!$J9),S10=0),"",ROUNDDOWN(SUM('KO-Phase'!$H9:$J9),0)*Tore!S10)</f>
        <v/>
      </c>
      <c r="U10" s="37">
        <f>IF(LEFT('KO-Phase'!$B9,2)=Tore!U$2,1,0)</f>
        <v>0</v>
      </c>
      <c r="V10" s="37" t="str">
        <f>IF(OR(ISBLANK('KO-Phase'!$H9),ISBLANK('KO-Phase'!$J9),U10=0),"",ROUNDDOWN(SUM('KO-Phase'!$H9:$J9),0)*Tore!U10)</f>
        <v/>
      </c>
      <c r="W10" s="37">
        <f>IF(LEFT('KO-Phase'!$B9,2)=Tore!W$2,1,0)</f>
        <v>0</v>
      </c>
      <c r="X10" s="37" t="str">
        <f>IF(OR(ISBLANK('KO-Phase'!$H9),ISBLANK('KO-Phase'!$J9),W10=0),"",ROUNDDOWN(SUM('KO-Phase'!$H9:$J9),0)*Tore!W10)</f>
        <v/>
      </c>
      <c r="Y10" s="37">
        <f>IF(LEFT('KO-Phase'!$B9,2)=Tore!Y$2,1,0)</f>
        <v>0</v>
      </c>
      <c r="Z10" s="37" t="str">
        <f>IF(OR(ISBLANK('KO-Phase'!$H9),ISBLANK('KO-Phase'!$J9),Y10=0),"",ROUNDDOWN(SUM('KO-Phase'!$H9:$J9),0)*Tore!Y10)</f>
        <v/>
      </c>
      <c r="AB10" s="45" t="s">
        <v>79</v>
      </c>
      <c r="AC10" s="58">
        <f>COUNT(P:P)</f>
        <v>6</v>
      </c>
      <c r="AD10" s="58">
        <f t="shared" si="0"/>
        <v>1</v>
      </c>
      <c r="AE10" s="59">
        <f>SUM(O:O)</f>
        <v>6</v>
      </c>
      <c r="AF10" s="58">
        <f>SUM(P:P)</f>
        <v>16</v>
      </c>
      <c r="AG10" s="60">
        <f t="shared" si="1"/>
        <v>2.6666666666666665</v>
      </c>
      <c r="AK10" s="37"/>
    </row>
    <row r="11" spans="1:37" x14ac:dyDescent="0.3">
      <c r="A11" s="37">
        <f>IF(Gruppenphase!$B9=VALUE(RIGHT(Tore!A$2,1)),1,0)</f>
        <v>1</v>
      </c>
      <c r="B11" s="37">
        <f>IF(OR(Gruppenphase!$P9=0,A11=0),"",ROUNDDOWN(SUM(Gruppenphase!$I9:$K9),0)*Tore!A11)</f>
        <v>3</v>
      </c>
      <c r="C11" s="37">
        <f>IF(Gruppenphase!$B9=VALUE(RIGHT(Tore!C$2,1)),1,0)</f>
        <v>0</v>
      </c>
      <c r="D11" s="37" t="str">
        <f>IF(OR(Gruppenphase!$P9=0,C11=0),"",ROUNDDOWN(SUM(Gruppenphase!$I9:$K9),0)*Tore!C11)</f>
        <v/>
      </c>
      <c r="E11" s="37">
        <f>IF(Gruppenphase!$B9=VALUE(RIGHT(Tore!E$2,1)),1,0)</f>
        <v>0</v>
      </c>
      <c r="F11" s="37" t="str">
        <f>IF(OR(Gruppenphase!$P9=0,E11=0),"",ROUNDDOWN(SUM(Gruppenphase!$I9:$K9),0)*Tore!E11)</f>
        <v/>
      </c>
      <c r="G11" s="37">
        <f>IF(Gruppenphase!$C9=RIGHT(Tore!G$2,1),1,0)</f>
        <v>0</v>
      </c>
      <c r="H11" s="37" t="str">
        <f>IF(OR(Gruppenphase!$P9=0,G11=0),"",ROUNDDOWN(SUM(Gruppenphase!$I9:$K9),0)*Tore!G11)</f>
        <v/>
      </c>
      <c r="I11" s="37">
        <f>IF(Gruppenphase!$C9=RIGHT(Tore!I$2,1),1,0)</f>
        <v>0</v>
      </c>
      <c r="J11" s="37" t="str">
        <f>IF(OR(Gruppenphase!$P9=0,I11=0),"",ROUNDDOWN(SUM(Gruppenphase!$I9:$K9),0)*Tore!I11)</f>
        <v/>
      </c>
      <c r="K11" s="37">
        <f>IF(Gruppenphase!$C9=RIGHT(Tore!K$2,1),1,0)</f>
        <v>0</v>
      </c>
      <c r="L11" s="37" t="str">
        <f>IF(OR(Gruppenphase!$P9=0,K11=0),"",ROUNDDOWN(SUM(Gruppenphase!$I9:$K9),0)*Tore!K11)</f>
        <v/>
      </c>
      <c r="M11" s="37">
        <f>IF(Gruppenphase!$C9=RIGHT(Tore!M$2,1),1,0)</f>
        <v>0</v>
      </c>
      <c r="N11" s="37" t="str">
        <f>IF(OR(Gruppenphase!$P9=0,M11=0),"",ROUNDDOWN(SUM(Gruppenphase!$I9:$K9),0)*Tore!M11)</f>
        <v/>
      </c>
      <c r="O11" s="37">
        <f>IF(Gruppenphase!$C9=RIGHT(Tore!O$2,1),1,0)</f>
        <v>1</v>
      </c>
      <c r="P11" s="37">
        <f>IF(OR(Gruppenphase!$P9=0,O11=0),"",ROUNDDOWN(SUM(Gruppenphase!$I9:$K9),0)*Tore!O11)</f>
        <v>3</v>
      </c>
      <c r="Q11" s="37">
        <f>IF(Gruppenphase!$C9=RIGHT(Tore!Q$2,1),1,0)</f>
        <v>0</v>
      </c>
      <c r="R11" s="37" t="str">
        <f>IF(OR(Gruppenphase!$P9=0,Q11=0),"",ROUNDDOWN(SUM(Gruppenphase!$I9:$K9),0)*Tore!Q11)</f>
        <v/>
      </c>
      <c r="S11" s="37">
        <f>IF(LEFT('KO-Phase'!$B10,2)=Tore!S$2,1,0)</f>
        <v>0</v>
      </c>
      <c r="T11" s="37" t="str">
        <f>IF(OR(ISBLANK('KO-Phase'!$H10),ISBLANK('KO-Phase'!$J10),S11=0),"",ROUNDDOWN(SUM('KO-Phase'!$H10:$J10),0)*Tore!S11)</f>
        <v/>
      </c>
      <c r="U11" s="37">
        <f>IF(LEFT('KO-Phase'!$B10,2)=Tore!U$2,1,0)</f>
        <v>0</v>
      </c>
      <c r="V11" s="37" t="str">
        <f>IF(OR(ISBLANK('KO-Phase'!$H10),ISBLANK('KO-Phase'!$J10),U11=0),"",ROUNDDOWN(SUM('KO-Phase'!$H10:$J10),0)*Tore!U11)</f>
        <v/>
      </c>
      <c r="W11" s="37">
        <f>IF(LEFT('KO-Phase'!$B10,2)=Tore!W$2,1,0)</f>
        <v>0</v>
      </c>
      <c r="X11" s="37" t="str">
        <f>IF(OR(ISBLANK('KO-Phase'!$H10),ISBLANK('KO-Phase'!$J10),W11=0),"",ROUNDDOWN(SUM('KO-Phase'!$H10:$J10),0)*Tore!W11)</f>
        <v/>
      </c>
      <c r="Y11" s="37">
        <f>IF(LEFT('KO-Phase'!$B10,2)=Tore!Y$2,1,0)</f>
        <v>0</v>
      </c>
      <c r="Z11" s="37" t="str">
        <f>IF(OR(ISBLANK('KO-Phase'!$H10),ISBLANK('KO-Phase'!$J10),Y11=0),"",ROUNDDOWN(SUM('KO-Phase'!$H10:$J10),0)*Tore!Y11)</f>
        <v/>
      </c>
      <c r="AB11" s="46" t="s">
        <v>78</v>
      </c>
      <c r="AC11" s="64">
        <f>COUNT(R:R)</f>
        <v>6</v>
      </c>
      <c r="AD11" s="64">
        <f t="shared" si="0"/>
        <v>1</v>
      </c>
      <c r="AE11" s="65">
        <f>SUM(Q:Q)</f>
        <v>6</v>
      </c>
      <c r="AF11" s="64">
        <f>SUM(R:R)</f>
        <v>20</v>
      </c>
      <c r="AG11" s="66">
        <f t="shared" si="1"/>
        <v>3.3333333333333335</v>
      </c>
      <c r="AK11" s="37"/>
    </row>
    <row r="12" spans="1:37" x14ac:dyDescent="0.3">
      <c r="A12" s="37">
        <f>IF(Gruppenphase!$B10=VALUE(RIGHT(Tore!A$2,1)),1,0)</f>
        <v>1</v>
      </c>
      <c r="B12" s="37">
        <f>IF(OR(Gruppenphase!$P10=0,A12=0),"",ROUNDDOWN(SUM(Gruppenphase!$I10:$K10),0)*Tore!A12)</f>
        <v>0</v>
      </c>
      <c r="C12" s="37">
        <f>IF(Gruppenphase!$B10=VALUE(RIGHT(Tore!C$2,1)),1,0)</f>
        <v>0</v>
      </c>
      <c r="D12" s="37" t="str">
        <f>IF(OR(Gruppenphase!$P10=0,C12=0),"",ROUNDDOWN(SUM(Gruppenphase!$I10:$K10),0)*Tore!C12)</f>
        <v/>
      </c>
      <c r="E12" s="37">
        <f>IF(Gruppenphase!$B10=VALUE(RIGHT(Tore!E$2,1)),1,0)</f>
        <v>0</v>
      </c>
      <c r="F12" s="37" t="str">
        <f>IF(OR(Gruppenphase!$P10=0,E12=0),"",ROUNDDOWN(SUM(Gruppenphase!$I10:$K10),0)*Tore!E12)</f>
        <v/>
      </c>
      <c r="G12" s="37">
        <f>IF(Gruppenphase!$C10=RIGHT(Tore!G$2,1),1,0)</f>
        <v>0</v>
      </c>
      <c r="H12" s="37" t="str">
        <f>IF(OR(Gruppenphase!$P10=0,G12=0),"",ROUNDDOWN(SUM(Gruppenphase!$I10:$K10),0)*Tore!G12)</f>
        <v/>
      </c>
      <c r="I12" s="37">
        <f>IF(Gruppenphase!$C10=RIGHT(Tore!I$2,1),1,0)</f>
        <v>0</v>
      </c>
      <c r="J12" s="37" t="str">
        <f>IF(OR(Gruppenphase!$P10=0,I12=0),"",ROUNDDOWN(SUM(Gruppenphase!$I10:$K10),0)*Tore!I12)</f>
        <v/>
      </c>
      <c r="K12" s="37">
        <f>IF(Gruppenphase!$C10=RIGHT(Tore!K$2,1),1,0)</f>
        <v>0</v>
      </c>
      <c r="L12" s="37" t="str">
        <f>IF(OR(Gruppenphase!$P10=0,K12=0),"",ROUNDDOWN(SUM(Gruppenphase!$I10:$K10),0)*Tore!K12)</f>
        <v/>
      </c>
      <c r="M12" s="37">
        <f>IF(Gruppenphase!$C10=RIGHT(Tore!M$2,1),1,0)</f>
        <v>0</v>
      </c>
      <c r="N12" s="37" t="str">
        <f>IF(OR(Gruppenphase!$P10=0,M12=0),"",ROUNDDOWN(SUM(Gruppenphase!$I10:$K10),0)*Tore!M12)</f>
        <v/>
      </c>
      <c r="O12" s="37">
        <f>IF(Gruppenphase!$C10=RIGHT(Tore!O$2,1),1,0)</f>
        <v>1</v>
      </c>
      <c r="P12" s="37">
        <f>IF(OR(Gruppenphase!$P10=0,O12=0),"",ROUNDDOWN(SUM(Gruppenphase!$I10:$K10),0)*Tore!O12)</f>
        <v>0</v>
      </c>
      <c r="Q12" s="37">
        <f>IF(Gruppenphase!$C10=RIGHT(Tore!Q$2,1),1,0)</f>
        <v>0</v>
      </c>
      <c r="R12" s="37" t="str">
        <f>IF(OR(Gruppenphase!$P10=0,Q12=0),"",ROUNDDOWN(SUM(Gruppenphase!$I10:$K10),0)*Tore!Q12)</f>
        <v/>
      </c>
      <c r="S12" s="37">
        <f>IF(LEFT('KO-Phase'!$B11,2)=Tore!S$2,1,0)</f>
        <v>0</v>
      </c>
      <c r="T12" s="37" t="str">
        <f>IF(OR(ISBLANK('KO-Phase'!$H11),ISBLANK('KO-Phase'!$J11),S12=0),"",ROUNDDOWN(SUM('KO-Phase'!$H11:$J11),0)*Tore!S12)</f>
        <v/>
      </c>
      <c r="U12" s="37">
        <f>IF(LEFT('KO-Phase'!$B11,2)=Tore!U$2,1,0)</f>
        <v>1</v>
      </c>
      <c r="V12" s="37" t="str">
        <f>IF(OR(ISBLANK('KO-Phase'!$H11),ISBLANK('KO-Phase'!$J11),U12=0),"",ROUNDDOWN(SUM('KO-Phase'!$H11:$J11),0)*Tore!U12)</f>
        <v/>
      </c>
      <c r="W12" s="37">
        <f>IF(LEFT('KO-Phase'!$B11,2)=Tore!W$2,1,0)</f>
        <v>0</v>
      </c>
      <c r="X12" s="37" t="str">
        <f>IF(OR(ISBLANK('KO-Phase'!$H11),ISBLANK('KO-Phase'!$J11),W12=0),"",ROUNDDOWN(SUM('KO-Phase'!$H11:$J11),0)*Tore!W12)</f>
        <v/>
      </c>
      <c r="Y12" s="37">
        <f>IF(LEFT('KO-Phase'!$B11,2)=Tore!Y$2,1,0)</f>
        <v>0</v>
      </c>
      <c r="Z12" s="37" t="str">
        <f>IF(OR(ISBLANK('KO-Phase'!$H11),ISBLANK('KO-Phase'!$J11),Y12=0),"",ROUNDDOWN(SUM('KO-Phase'!$H11:$J11),0)*Tore!Y12)</f>
        <v/>
      </c>
      <c r="AB12" s="41" t="s">
        <v>108</v>
      </c>
      <c r="AC12" s="47">
        <f>SUM(AC3:AC5)</f>
        <v>36</v>
      </c>
      <c r="AD12" s="47">
        <f t="shared" si="0"/>
        <v>1</v>
      </c>
      <c r="AE12" s="48">
        <f>SUM(AE3:AE5)</f>
        <v>36</v>
      </c>
      <c r="AF12" s="47">
        <f>SUM(AF3:AF5)</f>
        <v>94</v>
      </c>
      <c r="AG12" s="49">
        <f t="shared" si="1"/>
        <v>2.6111111111111112</v>
      </c>
      <c r="AK12" s="37"/>
    </row>
    <row r="13" spans="1:37" x14ac:dyDescent="0.3">
      <c r="A13" s="37">
        <f>IF(Gruppenphase!$B11=VALUE(RIGHT(Tore!A$2,1)),1,0)</f>
        <v>1</v>
      </c>
      <c r="B13" s="37">
        <f>IF(OR(Gruppenphase!$P11=0,A13=0),"",ROUNDDOWN(SUM(Gruppenphase!$I11:$K11),0)*Tore!A13)</f>
        <v>3</v>
      </c>
      <c r="C13" s="37">
        <f>IF(Gruppenphase!$B11=VALUE(RIGHT(Tore!C$2,1)),1,0)</f>
        <v>0</v>
      </c>
      <c r="D13" s="37" t="str">
        <f>IF(OR(Gruppenphase!$P11=0,C13=0),"",ROUNDDOWN(SUM(Gruppenphase!$I11:$K11),0)*Tore!C13)</f>
        <v/>
      </c>
      <c r="E13" s="37">
        <f>IF(Gruppenphase!$B11=VALUE(RIGHT(Tore!E$2,1)),1,0)</f>
        <v>0</v>
      </c>
      <c r="F13" s="37" t="str">
        <f>IF(OR(Gruppenphase!$P11=0,E13=0),"",ROUNDDOWN(SUM(Gruppenphase!$I11:$K11),0)*Tore!E13)</f>
        <v/>
      </c>
      <c r="G13" s="37">
        <f>IF(Gruppenphase!$C11=RIGHT(Tore!G$2,1),1,0)</f>
        <v>0</v>
      </c>
      <c r="H13" s="37" t="str">
        <f>IF(OR(Gruppenphase!$P11=0,G13=0),"",ROUNDDOWN(SUM(Gruppenphase!$I11:$K11),0)*Tore!G13)</f>
        <v/>
      </c>
      <c r="I13" s="37">
        <f>IF(Gruppenphase!$C11=RIGHT(Tore!I$2,1),1,0)</f>
        <v>0</v>
      </c>
      <c r="J13" s="37" t="str">
        <f>IF(OR(Gruppenphase!$P11=0,I13=0),"",ROUNDDOWN(SUM(Gruppenphase!$I11:$K11),0)*Tore!I13)</f>
        <v/>
      </c>
      <c r="K13" s="37">
        <f>IF(Gruppenphase!$C11=RIGHT(Tore!K$2,1),1,0)</f>
        <v>0</v>
      </c>
      <c r="L13" s="37" t="str">
        <f>IF(OR(Gruppenphase!$P11=0,K13=0),"",ROUNDDOWN(SUM(Gruppenphase!$I11:$K11),0)*Tore!K13)</f>
        <v/>
      </c>
      <c r="M13" s="37">
        <f>IF(Gruppenphase!$C11=RIGHT(Tore!M$2,1),1,0)</f>
        <v>0</v>
      </c>
      <c r="N13" s="37" t="str">
        <f>IF(OR(Gruppenphase!$P11=0,M13=0),"",ROUNDDOWN(SUM(Gruppenphase!$I11:$K11),0)*Tore!M13)</f>
        <v/>
      </c>
      <c r="O13" s="37">
        <f>IF(Gruppenphase!$C11=RIGHT(Tore!O$2,1),1,0)</f>
        <v>0</v>
      </c>
      <c r="P13" s="37" t="str">
        <f>IF(OR(Gruppenphase!$P11=0,O13=0),"",ROUNDDOWN(SUM(Gruppenphase!$I11:$K11),0)*Tore!O13)</f>
        <v/>
      </c>
      <c r="Q13" s="37">
        <f>IF(Gruppenphase!$C11=RIGHT(Tore!Q$2,1),1,0)</f>
        <v>1</v>
      </c>
      <c r="R13" s="37">
        <f>IF(OR(Gruppenphase!$P11=0,Q13=0),"",ROUNDDOWN(SUM(Gruppenphase!$I11:$K11),0)*Tore!Q13)</f>
        <v>3</v>
      </c>
      <c r="S13" s="37">
        <f>IF(LEFT('KO-Phase'!$B12,2)=Tore!S$2,1,0)</f>
        <v>0</v>
      </c>
      <c r="T13" s="37" t="str">
        <f>IF(OR(ISBLANK('KO-Phase'!$H12),ISBLANK('KO-Phase'!$J12),S13=0),"",ROUNDDOWN(SUM('KO-Phase'!$H12:$J12),0)*Tore!S13)</f>
        <v/>
      </c>
      <c r="U13" s="37">
        <f>IF(LEFT('KO-Phase'!$B12,2)=Tore!U$2,1,0)</f>
        <v>1</v>
      </c>
      <c r="V13" s="37" t="str">
        <f>IF(OR(ISBLANK('KO-Phase'!$H12),ISBLANK('KO-Phase'!$J12),U13=0),"",ROUNDDOWN(SUM('KO-Phase'!$H12:$J12),0)*Tore!U13)</f>
        <v/>
      </c>
      <c r="W13" s="37">
        <f>IF(LEFT('KO-Phase'!$B12,2)=Tore!W$2,1,0)</f>
        <v>0</v>
      </c>
      <c r="X13" s="37" t="str">
        <f>IF(OR(ISBLANK('KO-Phase'!$H12),ISBLANK('KO-Phase'!$J12),W13=0),"",ROUNDDOWN(SUM('KO-Phase'!$H12:$J12),0)*Tore!W13)</f>
        <v/>
      </c>
      <c r="Y13" s="37">
        <f>IF(LEFT('KO-Phase'!$B12,2)=Tore!Y$2,1,0)</f>
        <v>0</v>
      </c>
      <c r="Z13" s="37" t="str">
        <f>IF(OR(ISBLANK('KO-Phase'!$H12),ISBLANK('KO-Phase'!$J12),Y13=0),"",ROUNDDOWN(SUM('KO-Phase'!$H12:$J12),0)*Tore!Y13)</f>
        <v/>
      </c>
      <c r="AB13" s="45" t="s">
        <v>113</v>
      </c>
      <c r="AC13" s="55">
        <f>COUNT(T:T)</f>
        <v>0</v>
      </c>
      <c r="AD13" s="58">
        <f t="shared" si="0"/>
        <v>0</v>
      </c>
      <c r="AE13" s="59">
        <f>SUM(S:S)</f>
        <v>8</v>
      </c>
      <c r="AF13" s="67">
        <f>SUM(T:T)</f>
        <v>0</v>
      </c>
      <c r="AG13" s="60" t="str">
        <f t="shared" si="1"/>
        <v>-</v>
      </c>
      <c r="AK13" s="37"/>
    </row>
    <row r="14" spans="1:37" x14ac:dyDescent="0.3">
      <c r="A14" s="37">
        <f>IF(Gruppenphase!$B12=VALUE(RIGHT(Tore!A$2,1)),1,0)</f>
        <v>1</v>
      </c>
      <c r="B14" s="37">
        <f>IF(OR(Gruppenphase!$P12=0,A14=0),"",ROUNDDOWN(SUM(Gruppenphase!$I12:$K12),0)*Tore!A14)</f>
        <v>1</v>
      </c>
      <c r="C14" s="37">
        <f>IF(Gruppenphase!$B12=VALUE(RIGHT(Tore!C$2,1)),1,0)</f>
        <v>0</v>
      </c>
      <c r="D14" s="37" t="str">
        <f>IF(OR(Gruppenphase!$P12=0,C14=0),"",ROUNDDOWN(SUM(Gruppenphase!$I12:$K12),0)*Tore!C14)</f>
        <v/>
      </c>
      <c r="E14" s="37">
        <f>IF(Gruppenphase!$B12=VALUE(RIGHT(Tore!E$2,1)),1,0)</f>
        <v>0</v>
      </c>
      <c r="F14" s="37" t="str">
        <f>IF(OR(Gruppenphase!$P12=0,E14=0),"",ROUNDDOWN(SUM(Gruppenphase!$I12:$K12),0)*Tore!E14)</f>
        <v/>
      </c>
      <c r="G14" s="37">
        <f>IF(Gruppenphase!$C12=RIGHT(Tore!G$2,1),1,0)</f>
        <v>0</v>
      </c>
      <c r="H14" s="37" t="str">
        <f>IF(OR(Gruppenphase!$P12=0,G14=0),"",ROUNDDOWN(SUM(Gruppenphase!$I12:$K12),0)*Tore!G14)</f>
        <v/>
      </c>
      <c r="I14" s="37">
        <f>IF(Gruppenphase!$C12=RIGHT(Tore!I$2,1),1,0)</f>
        <v>0</v>
      </c>
      <c r="J14" s="37" t="str">
        <f>IF(OR(Gruppenphase!$P12=0,I14=0),"",ROUNDDOWN(SUM(Gruppenphase!$I12:$K12),0)*Tore!I14)</f>
        <v/>
      </c>
      <c r="K14" s="37">
        <f>IF(Gruppenphase!$C12=RIGHT(Tore!K$2,1),1,0)</f>
        <v>0</v>
      </c>
      <c r="L14" s="37" t="str">
        <f>IF(OR(Gruppenphase!$P12=0,K14=0),"",ROUNDDOWN(SUM(Gruppenphase!$I12:$K12),0)*Tore!K14)</f>
        <v/>
      </c>
      <c r="M14" s="37">
        <f>IF(Gruppenphase!$C12=RIGHT(Tore!M$2,1),1,0)</f>
        <v>0</v>
      </c>
      <c r="N14" s="37" t="str">
        <f>IF(OR(Gruppenphase!$P12=0,M14=0),"",ROUNDDOWN(SUM(Gruppenphase!$I12:$K12),0)*Tore!M14)</f>
        <v/>
      </c>
      <c r="O14" s="37">
        <f>IF(Gruppenphase!$C12=RIGHT(Tore!O$2,1),1,0)</f>
        <v>0</v>
      </c>
      <c r="P14" s="37" t="str">
        <f>IF(OR(Gruppenphase!$P12=0,O14=0),"",ROUNDDOWN(SUM(Gruppenphase!$I12:$K12),0)*Tore!O14)</f>
        <v/>
      </c>
      <c r="Q14" s="37">
        <f>IF(Gruppenphase!$C12=RIGHT(Tore!Q$2,1),1,0)</f>
        <v>1</v>
      </c>
      <c r="R14" s="37">
        <f>IF(OR(Gruppenphase!$P12=0,Q14=0),"",ROUNDDOWN(SUM(Gruppenphase!$I12:$K12),0)*Tore!Q14)</f>
        <v>1</v>
      </c>
      <c r="S14" s="37">
        <f>IF(LEFT('KO-Phase'!$B13,2)=Tore!S$2,1,0)</f>
        <v>0</v>
      </c>
      <c r="T14" s="37" t="str">
        <f>IF(OR(ISBLANK('KO-Phase'!$H13),ISBLANK('KO-Phase'!$J13),S14=0),"",ROUNDDOWN(SUM('KO-Phase'!$H13:$J13),0)*Tore!S14)</f>
        <v/>
      </c>
      <c r="U14" s="37">
        <f>IF(LEFT('KO-Phase'!$B13,2)=Tore!U$2,1,0)</f>
        <v>1</v>
      </c>
      <c r="V14" s="37" t="str">
        <f>IF(OR(ISBLANK('KO-Phase'!$H13),ISBLANK('KO-Phase'!$J13),U14=0),"",ROUNDDOWN(SUM('KO-Phase'!$H13:$J13),0)*Tore!U14)</f>
        <v/>
      </c>
      <c r="W14" s="37">
        <f>IF(LEFT('KO-Phase'!$B13,2)=Tore!W$2,1,0)</f>
        <v>0</v>
      </c>
      <c r="X14" s="37" t="str">
        <f>IF(OR(ISBLANK('KO-Phase'!$H13),ISBLANK('KO-Phase'!$J13),W14=0),"",ROUNDDOWN(SUM('KO-Phase'!$H13:$J13),0)*Tore!W14)</f>
        <v/>
      </c>
      <c r="Y14" s="37">
        <f>IF(LEFT('KO-Phase'!$B13,2)=Tore!Y$2,1,0)</f>
        <v>0</v>
      </c>
      <c r="Z14" s="37" t="str">
        <f>IF(OR(ISBLANK('KO-Phase'!$H13),ISBLANK('KO-Phase'!$J13),Y14=0),"",ROUNDDOWN(SUM('KO-Phase'!$H13:$J13),0)*Tore!Y14)</f>
        <v/>
      </c>
      <c r="AB14" s="45" t="s">
        <v>114</v>
      </c>
      <c r="AC14" s="58">
        <f>COUNT(V:V)</f>
        <v>0</v>
      </c>
      <c r="AD14" s="58">
        <f t="shared" si="0"/>
        <v>0</v>
      </c>
      <c r="AE14" s="59">
        <f>SUM(U:U)</f>
        <v>4</v>
      </c>
      <c r="AF14" s="67">
        <f>SUM(V:V)</f>
        <v>0</v>
      </c>
      <c r="AG14" s="60" t="str">
        <f t="shared" si="1"/>
        <v>-</v>
      </c>
      <c r="AK14" s="37"/>
    </row>
    <row r="15" spans="1:37" x14ac:dyDescent="0.3">
      <c r="A15" s="37">
        <f>IF(Gruppenphase!$B13=VALUE(RIGHT(Tore!A$2,1)),1,0)</f>
        <v>0</v>
      </c>
      <c r="B15" s="37" t="str">
        <f>IF(OR(Gruppenphase!$P13=0,A15=0),"",ROUNDDOWN(SUM(Gruppenphase!$I13:$K13),0)*Tore!A15)</f>
        <v/>
      </c>
      <c r="C15" s="37">
        <f>IF(Gruppenphase!$B13=VALUE(RIGHT(Tore!C$2,1)),1,0)</f>
        <v>1</v>
      </c>
      <c r="D15" s="37">
        <f>IF(OR(Gruppenphase!$P13=0,C15=0),"",ROUNDDOWN(SUM(Gruppenphase!$I13:$K13),0)*Tore!C15)</f>
        <v>1</v>
      </c>
      <c r="E15" s="37">
        <f>IF(Gruppenphase!$B13=VALUE(RIGHT(Tore!E$2,1)),1,0)</f>
        <v>0</v>
      </c>
      <c r="F15" s="37" t="str">
        <f>IF(OR(Gruppenphase!$P13=0,E15=0),"",ROUNDDOWN(SUM(Gruppenphase!$I13:$K13),0)*Tore!E15)</f>
        <v/>
      </c>
      <c r="G15" s="37">
        <f>IF(Gruppenphase!$C13=RIGHT(Tore!G$2,1),1,0)</f>
        <v>0</v>
      </c>
      <c r="H15" s="37" t="str">
        <f>IF(OR(Gruppenphase!$P13=0,G15=0),"",ROUNDDOWN(SUM(Gruppenphase!$I13:$K13),0)*Tore!G15)</f>
        <v/>
      </c>
      <c r="I15" s="37">
        <f>IF(Gruppenphase!$C13=RIGHT(Tore!I$2,1),1,0)</f>
        <v>1</v>
      </c>
      <c r="J15" s="37">
        <f>IF(OR(Gruppenphase!$P13=0,I15=0),"",ROUNDDOWN(SUM(Gruppenphase!$I13:$K13),0)*Tore!I15)</f>
        <v>1</v>
      </c>
      <c r="K15" s="37">
        <f>IF(Gruppenphase!$C13=RIGHT(Tore!K$2,1),1,0)</f>
        <v>0</v>
      </c>
      <c r="L15" s="37" t="str">
        <f>IF(OR(Gruppenphase!$P13=0,K15=0),"",ROUNDDOWN(SUM(Gruppenphase!$I13:$K13),0)*Tore!K15)</f>
        <v/>
      </c>
      <c r="M15" s="37">
        <f>IF(Gruppenphase!$C13=RIGHT(Tore!M$2,1),1,0)</f>
        <v>0</v>
      </c>
      <c r="N15" s="37" t="str">
        <f>IF(OR(Gruppenphase!$P13=0,M15=0),"",ROUNDDOWN(SUM(Gruppenphase!$I13:$K13),0)*Tore!M15)</f>
        <v/>
      </c>
      <c r="O15" s="37">
        <f>IF(Gruppenphase!$C13=RIGHT(Tore!O$2,1),1,0)</f>
        <v>0</v>
      </c>
      <c r="P15" s="37" t="str">
        <f>IF(OR(Gruppenphase!$P13=0,O15=0),"",ROUNDDOWN(SUM(Gruppenphase!$I13:$K13),0)*Tore!O15)</f>
        <v/>
      </c>
      <c r="Q15" s="37">
        <f>IF(Gruppenphase!$C13=RIGHT(Tore!Q$2,1),1,0)</f>
        <v>0</v>
      </c>
      <c r="R15" s="37" t="str">
        <f>IF(OR(Gruppenphase!$P13=0,Q15=0),"",ROUNDDOWN(SUM(Gruppenphase!$I13:$K13),0)*Tore!Q15)</f>
        <v/>
      </c>
      <c r="S15" s="37">
        <f>IF(LEFT('KO-Phase'!$B14,2)=Tore!S$2,1,0)</f>
        <v>0</v>
      </c>
      <c r="T15" s="37" t="str">
        <f>IF(OR(ISBLANK('KO-Phase'!$H14),ISBLANK('KO-Phase'!$J14),S15=0),"",ROUNDDOWN(SUM('KO-Phase'!$H14:$J14),0)*Tore!S15)</f>
        <v/>
      </c>
      <c r="U15" s="37">
        <f>IF(LEFT('KO-Phase'!$B14,2)=Tore!U$2,1,0)</f>
        <v>1</v>
      </c>
      <c r="V15" s="37" t="str">
        <f>IF(OR(ISBLANK('KO-Phase'!$H14),ISBLANK('KO-Phase'!$J14),U15=0),"",ROUNDDOWN(SUM('KO-Phase'!$H14:$J14),0)*Tore!U15)</f>
        <v/>
      </c>
      <c r="W15" s="37">
        <f>IF(LEFT('KO-Phase'!$B14,2)=Tore!W$2,1,0)</f>
        <v>0</v>
      </c>
      <c r="X15" s="37" t="str">
        <f>IF(OR(ISBLANK('KO-Phase'!$H14),ISBLANK('KO-Phase'!$J14),W15=0),"",ROUNDDOWN(SUM('KO-Phase'!$H14:$J14),0)*Tore!W15)</f>
        <v/>
      </c>
      <c r="Y15" s="37">
        <f>IF(LEFT('KO-Phase'!$B14,2)=Tore!Y$2,1,0)</f>
        <v>0</v>
      </c>
      <c r="Z15" s="37" t="str">
        <f>IF(OR(ISBLANK('KO-Phase'!$H14),ISBLANK('KO-Phase'!$J14),Y15=0),"",ROUNDDOWN(SUM('KO-Phase'!$H14:$J14),0)*Tore!Y15)</f>
        <v/>
      </c>
      <c r="AB15" s="45" t="s">
        <v>115</v>
      </c>
      <c r="AC15" s="58">
        <f>COUNT(X:X)</f>
        <v>0</v>
      </c>
      <c r="AD15" s="58">
        <f t="shared" si="0"/>
        <v>0</v>
      </c>
      <c r="AE15" s="59">
        <f>SUM(W:W)</f>
        <v>2</v>
      </c>
      <c r="AF15" s="67">
        <f>SUM(X:X)</f>
        <v>0</v>
      </c>
      <c r="AG15" s="60" t="str">
        <f t="shared" si="1"/>
        <v>-</v>
      </c>
      <c r="AK15" s="37"/>
    </row>
    <row r="16" spans="1:37" x14ac:dyDescent="0.3">
      <c r="A16" s="37">
        <f>IF(Gruppenphase!$B14=VALUE(RIGHT(Tore!A$2,1)),1,0)</f>
        <v>0</v>
      </c>
      <c r="B16" s="37" t="str">
        <f>IF(OR(Gruppenphase!$P14=0,A16=0),"",ROUNDDOWN(SUM(Gruppenphase!$I14:$K14),0)*Tore!A16)</f>
        <v/>
      </c>
      <c r="C16" s="37">
        <f>IF(Gruppenphase!$B14=VALUE(RIGHT(Tore!C$2,1)),1,0)</f>
        <v>1</v>
      </c>
      <c r="D16" s="37">
        <f>IF(OR(Gruppenphase!$P14=0,C16=0),"",ROUNDDOWN(SUM(Gruppenphase!$I14:$K14),0)*Tore!C16)</f>
        <v>2</v>
      </c>
      <c r="E16" s="37">
        <f>IF(Gruppenphase!$B14=VALUE(RIGHT(Tore!E$2,1)),1,0)</f>
        <v>0</v>
      </c>
      <c r="F16" s="37" t="str">
        <f>IF(OR(Gruppenphase!$P14=0,E16=0),"",ROUNDDOWN(SUM(Gruppenphase!$I14:$K14),0)*Tore!E16)</f>
        <v/>
      </c>
      <c r="G16" s="37">
        <f>IF(Gruppenphase!$C14=RIGHT(Tore!G$2,1),1,0)</f>
        <v>1</v>
      </c>
      <c r="H16" s="37">
        <f>IF(OR(Gruppenphase!$P14=0,G16=0),"",ROUNDDOWN(SUM(Gruppenphase!$I14:$K14),0)*Tore!G16)</f>
        <v>2</v>
      </c>
      <c r="I16" s="37">
        <f>IF(Gruppenphase!$C14=RIGHT(Tore!I$2,1),1,0)</f>
        <v>0</v>
      </c>
      <c r="J16" s="37" t="str">
        <f>IF(OR(Gruppenphase!$P14=0,I16=0),"",ROUNDDOWN(SUM(Gruppenphase!$I14:$K14),0)*Tore!I16)</f>
        <v/>
      </c>
      <c r="K16" s="37">
        <f>IF(Gruppenphase!$C14=RIGHT(Tore!K$2,1),1,0)</f>
        <v>0</v>
      </c>
      <c r="L16" s="37" t="str">
        <f>IF(OR(Gruppenphase!$P14=0,K16=0),"",ROUNDDOWN(SUM(Gruppenphase!$I14:$K14),0)*Tore!K16)</f>
        <v/>
      </c>
      <c r="M16" s="37">
        <f>IF(Gruppenphase!$C14=RIGHT(Tore!M$2,1),1,0)</f>
        <v>0</v>
      </c>
      <c r="N16" s="37" t="str">
        <f>IF(OR(Gruppenphase!$P14=0,M16=0),"",ROUNDDOWN(SUM(Gruppenphase!$I14:$K14),0)*Tore!M16)</f>
        <v/>
      </c>
      <c r="O16" s="37">
        <f>IF(Gruppenphase!$C14=RIGHT(Tore!O$2,1),1,0)</f>
        <v>0</v>
      </c>
      <c r="P16" s="37" t="str">
        <f>IF(OR(Gruppenphase!$P14=0,O16=0),"",ROUNDDOWN(SUM(Gruppenphase!$I14:$K14),0)*Tore!O16)</f>
        <v/>
      </c>
      <c r="Q16" s="37">
        <f>IF(Gruppenphase!$C14=RIGHT(Tore!Q$2,1),1,0)</f>
        <v>0</v>
      </c>
      <c r="R16" s="37" t="str">
        <f>IF(OR(Gruppenphase!$P14=0,Q16=0),"",ROUNDDOWN(SUM(Gruppenphase!$I14:$K14),0)*Tore!Q16)</f>
        <v/>
      </c>
      <c r="S16" s="37">
        <f>IF(LEFT('KO-Phase'!$B15,2)=Tore!S$2,1,0)</f>
        <v>0</v>
      </c>
      <c r="T16" s="37" t="str">
        <f>IF(OR(ISBLANK('KO-Phase'!$H15),ISBLANK('KO-Phase'!$J15),S16=0),"",ROUNDDOWN(SUM('KO-Phase'!$H15:$J15),0)*Tore!S16)</f>
        <v/>
      </c>
      <c r="U16" s="37">
        <f>IF(LEFT('KO-Phase'!$B15,2)=Tore!U$2,1,0)</f>
        <v>0</v>
      </c>
      <c r="V16" s="37" t="str">
        <f>IF(OR(ISBLANK('KO-Phase'!$H15),ISBLANK('KO-Phase'!$J15),U16=0),"",ROUNDDOWN(SUM('KO-Phase'!$H15:$J15),0)*Tore!U16)</f>
        <v/>
      </c>
      <c r="W16" s="37">
        <f>IF(LEFT('KO-Phase'!$B15,2)=Tore!W$2,1,0)</f>
        <v>0</v>
      </c>
      <c r="X16" s="37" t="str">
        <f>IF(OR(ISBLANK('KO-Phase'!$H15),ISBLANK('KO-Phase'!$J15),W16=0),"",ROUNDDOWN(SUM('KO-Phase'!$H15:$J15),0)*Tore!W16)</f>
        <v/>
      </c>
      <c r="Y16" s="37">
        <f>IF(LEFT('KO-Phase'!$B15,2)=Tore!Y$2,1,0)</f>
        <v>0</v>
      </c>
      <c r="Z16" s="37" t="str">
        <f>IF(OR(ISBLANK('KO-Phase'!$H15),ISBLANK('KO-Phase'!$J15),Y16=0),"",ROUNDDOWN(SUM('KO-Phase'!$H15:$J15),0)*Tore!Y16)</f>
        <v/>
      </c>
      <c r="AB16" s="46" t="s">
        <v>116</v>
      </c>
      <c r="AC16" s="64">
        <f>COUNT(Z:Z)</f>
        <v>0</v>
      </c>
      <c r="AD16" s="64">
        <f t="shared" si="0"/>
        <v>0</v>
      </c>
      <c r="AE16" s="65">
        <f>SUM(Y:Y)</f>
        <v>1</v>
      </c>
      <c r="AF16" s="68">
        <f>SUM(Z:Z)</f>
        <v>0</v>
      </c>
      <c r="AG16" s="66" t="str">
        <f t="shared" si="1"/>
        <v>-</v>
      </c>
      <c r="AK16" s="37"/>
    </row>
    <row r="17" spans="1:37" x14ac:dyDescent="0.3">
      <c r="A17" s="37">
        <f>IF(Gruppenphase!$B15=VALUE(RIGHT(Tore!A$2,1)),1,0)</f>
        <v>0</v>
      </c>
      <c r="B17" s="37" t="str">
        <f>IF(OR(Gruppenphase!$P15=0,A17=0),"",ROUNDDOWN(SUM(Gruppenphase!$I15:$K15),0)*Tore!A17)</f>
        <v/>
      </c>
      <c r="C17" s="37">
        <f>IF(Gruppenphase!$B15=VALUE(RIGHT(Tore!C$2,1)),1,0)</f>
        <v>1</v>
      </c>
      <c r="D17" s="37">
        <f>IF(OR(Gruppenphase!$P15=0,C17=0),"",ROUNDDOWN(SUM(Gruppenphase!$I15:$K15),0)*Tore!C17)</f>
        <v>3</v>
      </c>
      <c r="E17" s="37">
        <f>IF(Gruppenphase!$B15=VALUE(RIGHT(Tore!E$2,1)),1,0)</f>
        <v>0</v>
      </c>
      <c r="F17" s="37" t="str">
        <f>IF(OR(Gruppenphase!$P15=0,E17=0),"",ROUNDDOWN(SUM(Gruppenphase!$I15:$K15),0)*Tore!E17)</f>
        <v/>
      </c>
      <c r="G17" s="37">
        <f>IF(Gruppenphase!$C15=RIGHT(Tore!G$2,1),1,0)</f>
        <v>1</v>
      </c>
      <c r="H17" s="37">
        <f>IF(OR(Gruppenphase!$P15=0,G17=0),"",ROUNDDOWN(SUM(Gruppenphase!$I15:$K15),0)*Tore!G17)</f>
        <v>3</v>
      </c>
      <c r="I17" s="37">
        <f>IF(Gruppenphase!$C15=RIGHT(Tore!I$2,1),1,0)</f>
        <v>0</v>
      </c>
      <c r="J17" s="37" t="str">
        <f>IF(OR(Gruppenphase!$P15=0,I17=0),"",ROUNDDOWN(SUM(Gruppenphase!$I15:$K15),0)*Tore!I17)</f>
        <v/>
      </c>
      <c r="K17" s="37">
        <f>IF(Gruppenphase!$C15=RIGHT(Tore!K$2,1),1,0)</f>
        <v>0</v>
      </c>
      <c r="L17" s="37" t="str">
        <f>IF(OR(Gruppenphase!$P15=0,K17=0),"",ROUNDDOWN(SUM(Gruppenphase!$I15:$K15),0)*Tore!K17)</f>
        <v/>
      </c>
      <c r="M17" s="37">
        <f>IF(Gruppenphase!$C15=RIGHT(Tore!M$2,1),1,0)</f>
        <v>0</v>
      </c>
      <c r="N17" s="37" t="str">
        <f>IF(OR(Gruppenphase!$P15=0,M17=0),"",ROUNDDOWN(SUM(Gruppenphase!$I15:$K15),0)*Tore!M17)</f>
        <v/>
      </c>
      <c r="O17" s="37">
        <f>IF(Gruppenphase!$C15=RIGHT(Tore!O$2,1),1,0)</f>
        <v>0</v>
      </c>
      <c r="P17" s="37" t="str">
        <f>IF(OR(Gruppenphase!$P15=0,O17=0),"",ROUNDDOWN(SUM(Gruppenphase!$I15:$K15),0)*Tore!O17)</f>
        <v/>
      </c>
      <c r="Q17" s="37">
        <f>IF(Gruppenphase!$C15=RIGHT(Tore!Q$2,1),1,0)</f>
        <v>0</v>
      </c>
      <c r="R17" s="37" t="str">
        <f>IF(OR(Gruppenphase!$P15=0,Q17=0),"",ROUNDDOWN(SUM(Gruppenphase!$I15:$K15),0)*Tore!Q17)</f>
        <v/>
      </c>
      <c r="S17" s="37">
        <f>IF(LEFT('KO-Phase'!$B16,2)=Tore!S$2,1,0)</f>
        <v>0</v>
      </c>
      <c r="T17" s="37" t="str">
        <f>IF(OR(ISBLANK('KO-Phase'!$H16),ISBLANK('KO-Phase'!$J16),S17=0),"",ROUNDDOWN(SUM('KO-Phase'!$H16:$J16),0)*Tore!S17)</f>
        <v/>
      </c>
      <c r="U17" s="37">
        <f>IF(LEFT('KO-Phase'!$B16,2)=Tore!U$2,1,0)</f>
        <v>0</v>
      </c>
      <c r="V17" s="37" t="str">
        <f>IF(OR(ISBLANK('KO-Phase'!$H16),ISBLANK('KO-Phase'!$J16),U17=0),"",ROUNDDOWN(SUM('KO-Phase'!$H16:$J16),0)*Tore!U17)</f>
        <v/>
      </c>
      <c r="W17" s="37">
        <f>IF(LEFT('KO-Phase'!$B16,2)=Tore!W$2,1,0)</f>
        <v>1</v>
      </c>
      <c r="X17" s="37" t="str">
        <f>IF(OR(ISBLANK('KO-Phase'!$H16),ISBLANK('KO-Phase'!$J16),W17=0),"",ROUNDDOWN(SUM('KO-Phase'!$H16:$J16),0)*Tore!W17)</f>
        <v/>
      </c>
      <c r="Y17" s="37">
        <f>IF(LEFT('KO-Phase'!$B16,2)=Tore!Y$2,1,0)</f>
        <v>0</v>
      </c>
      <c r="Z17" s="37" t="str">
        <f>IF(OR(ISBLANK('KO-Phase'!$H16),ISBLANK('KO-Phase'!$J16),Y17=0),"",ROUNDDOWN(SUM('KO-Phase'!$H16:$J16),0)*Tore!Y17)</f>
        <v/>
      </c>
      <c r="AB17" s="41" t="s">
        <v>155</v>
      </c>
      <c r="AC17" s="47">
        <f>SUM(AC13:AC16)</f>
        <v>0</v>
      </c>
      <c r="AD17" s="47">
        <f t="shared" si="0"/>
        <v>0</v>
      </c>
      <c r="AE17" s="48">
        <f>SUM(AE13:AE16)</f>
        <v>15</v>
      </c>
      <c r="AF17" s="47">
        <f>SUM(AF13:AF16)</f>
        <v>0</v>
      </c>
      <c r="AG17" s="49" t="str">
        <f t="shared" si="1"/>
        <v>-</v>
      </c>
      <c r="AK17" s="37"/>
    </row>
    <row r="18" spans="1:37" ht="19.5" thickBot="1" x14ac:dyDescent="0.35">
      <c r="A18" s="37">
        <f>IF(Gruppenphase!$B16=VALUE(RIGHT(Tore!A$2,1)),1,0)</f>
        <v>0</v>
      </c>
      <c r="B18" s="37" t="str">
        <f>IF(OR(Gruppenphase!$P16=0,A18=0),"",ROUNDDOWN(SUM(Gruppenphase!$I16:$K16),0)*Tore!A18)</f>
        <v/>
      </c>
      <c r="C18" s="37">
        <f>IF(Gruppenphase!$B16=VALUE(RIGHT(Tore!C$2,1)),1,0)</f>
        <v>1</v>
      </c>
      <c r="D18" s="37">
        <f>IF(OR(Gruppenphase!$P16=0,C18=0),"",ROUNDDOWN(SUM(Gruppenphase!$I16:$K16),0)*Tore!C18)</f>
        <v>3</v>
      </c>
      <c r="E18" s="37">
        <f>IF(Gruppenphase!$B16=VALUE(RIGHT(Tore!E$2,1)),1,0)</f>
        <v>0</v>
      </c>
      <c r="F18" s="37" t="str">
        <f>IF(OR(Gruppenphase!$P16=0,E18=0),"",ROUNDDOWN(SUM(Gruppenphase!$I16:$K16),0)*Tore!E18)</f>
        <v/>
      </c>
      <c r="G18" s="37">
        <f>IF(Gruppenphase!$C16=RIGHT(Tore!G$2,1),1,0)</f>
        <v>0</v>
      </c>
      <c r="H18" s="37" t="str">
        <f>IF(OR(Gruppenphase!$P16=0,G18=0),"",ROUNDDOWN(SUM(Gruppenphase!$I16:$K16),0)*Tore!G18)</f>
        <v/>
      </c>
      <c r="I18" s="37">
        <f>IF(Gruppenphase!$C16=RIGHT(Tore!I$2,1),1,0)</f>
        <v>0</v>
      </c>
      <c r="J18" s="37" t="str">
        <f>IF(OR(Gruppenphase!$P16=0,I18=0),"",ROUNDDOWN(SUM(Gruppenphase!$I16:$K16),0)*Tore!I18)</f>
        <v/>
      </c>
      <c r="K18" s="37">
        <f>IF(Gruppenphase!$C16=RIGHT(Tore!K$2,1),1,0)</f>
        <v>1</v>
      </c>
      <c r="L18" s="37">
        <f>IF(OR(Gruppenphase!$P16=0,K18=0),"",ROUNDDOWN(SUM(Gruppenphase!$I16:$K16),0)*Tore!K18)</f>
        <v>3</v>
      </c>
      <c r="M18" s="37">
        <f>IF(Gruppenphase!$C16=RIGHT(Tore!M$2,1),1,0)</f>
        <v>0</v>
      </c>
      <c r="N18" s="37" t="str">
        <f>IF(OR(Gruppenphase!$P16=0,M18=0),"",ROUNDDOWN(SUM(Gruppenphase!$I16:$K16),0)*Tore!M18)</f>
        <v/>
      </c>
      <c r="O18" s="37">
        <f>IF(Gruppenphase!$C16=RIGHT(Tore!O$2,1),1,0)</f>
        <v>0</v>
      </c>
      <c r="P18" s="37" t="str">
        <f>IF(OR(Gruppenphase!$P16=0,O18=0),"",ROUNDDOWN(SUM(Gruppenphase!$I16:$K16),0)*Tore!O18)</f>
        <v/>
      </c>
      <c r="Q18" s="37">
        <f>IF(Gruppenphase!$C16=RIGHT(Tore!Q$2,1),1,0)</f>
        <v>0</v>
      </c>
      <c r="R18" s="37" t="str">
        <f>IF(OR(Gruppenphase!$P16=0,Q18=0),"",ROUNDDOWN(SUM(Gruppenphase!$I16:$K16),0)*Tore!Q18)</f>
        <v/>
      </c>
      <c r="S18" s="37">
        <f>IF(LEFT('KO-Phase'!$B17,2)=Tore!S$2,1,0)</f>
        <v>0</v>
      </c>
      <c r="T18" s="37" t="str">
        <f>IF(OR(ISBLANK('KO-Phase'!$H17),ISBLANK('KO-Phase'!$J17),S18=0),"",ROUNDDOWN(SUM('KO-Phase'!$H17:$J17),0)*Tore!S18)</f>
        <v/>
      </c>
      <c r="U18" s="37">
        <f>IF(LEFT('KO-Phase'!$B17,2)=Tore!U$2,1,0)</f>
        <v>0</v>
      </c>
      <c r="V18" s="37" t="str">
        <f>IF(OR(ISBLANK('KO-Phase'!$H17),ISBLANK('KO-Phase'!$J17),U18=0),"",ROUNDDOWN(SUM('KO-Phase'!$H17:$J17),0)*Tore!U18)</f>
        <v/>
      </c>
      <c r="W18" s="37">
        <f>IF(LEFT('KO-Phase'!$B17,2)=Tore!W$2,1,0)</f>
        <v>1</v>
      </c>
      <c r="X18" s="37" t="str">
        <f>IF(OR(ISBLANK('KO-Phase'!$H17),ISBLANK('KO-Phase'!$J17),W18=0),"",ROUNDDOWN(SUM('KO-Phase'!$H17:$J17),0)*Tore!W18)</f>
        <v/>
      </c>
      <c r="Y18" s="37">
        <f>IF(LEFT('KO-Phase'!$B17,2)=Tore!Y$2,1,0)</f>
        <v>0</v>
      </c>
      <c r="Z18" s="37" t="str">
        <f>IF(OR(ISBLANK('KO-Phase'!$H17),ISBLANK('KO-Phase'!$J17),Y18=0),"",ROUNDDOWN(SUM('KO-Phase'!$H17:$J17),0)*Tore!Y18)</f>
        <v/>
      </c>
      <c r="AB18" s="42" t="s">
        <v>120</v>
      </c>
      <c r="AC18" s="50">
        <f>SUM(AC12,AC17)</f>
        <v>36</v>
      </c>
      <c r="AD18" s="51">
        <f t="shared" si="0"/>
        <v>0.70588235294117652</v>
      </c>
      <c r="AE18" s="52">
        <f>SUM(AE12,AE17)</f>
        <v>51</v>
      </c>
      <c r="AF18" s="50">
        <f t="shared" ref="AF18" si="2">SUM(AF12,AF17)</f>
        <v>94</v>
      </c>
      <c r="AG18" s="53">
        <f t="shared" si="1"/>
        <v>2.6111111111111112</v>
      </c>
      <c r="AK18" s="37"/>
    </row>
    <row r="19" spans="1:37" x14ac:dyDescent="0.3">
      <c r="A19" s="37">
        <f>IF(Gruppenphase!$B17=VALUE(RIGHT(Tore!A$2,1)),1,0)</f>
        <v>0</v>
      </c>
      <c r="B19" s="37" t="str">
        <f>IF(OR(Gruppenphase!$P17=0,A19=0),"",ROUNDDOWN(SUM(Gruppenphase!$I17:$K17),0)*Tore!A19)</f>
        <v/>
      </c>
      <c r="C19" s="37">
        <f>IF(Gruppenphase!$B17=VALUE(RIGHT(Tore!C$2,1)),1,0)</f>
        <v>1</v>
      </c>
      <c r="D19" s="37">
        <f>IF(OR(Gruppenphase!$P17=0,C19=0),"",ROUNDDOWN(SUM(Gruppenphase!$I17:$K17),0)*Tore!C19)</f>
        <v>3</v>
      </c>
      <c r="E19" s="37">
        <f>IF(Gruppenphase!$B17=VALUE(RIGHT(Tore!E$2,1)),1,0)</f>
        <v>0</v>
      </c>
      <c r="F19" s="37" t="str">
        <f>IF(OR(Gruppenphase!$P17=0,E19=0),"",ROUNDDOWN(SUM(Gruppenphase!$I17:$K17),0)*Tore!E19)</f>
        <v/>
      </c>
      <c r="G19" s="37">
        <f>IF(Gruppenphase!$C17=RIGHT(Tore!G$2,1),1,0)</f>
        <v>0</v>
      </c>
      <c r="H19" s="37" t="str">
        <f>IF(OR(Gruppenphase!$P17=0,G19=0),"",ROUNDDOWN(SUM(Gruppenphase!$I17:$K17),0)*Tore!G19)</f>
        <v/>
      </c>
      <c r="I19" s="37">
        <f>IF(Gruppenphase!$C17=RIGHT(Tore!I$2,1),1,0)</f>
        <v>1</v>
      </c>
      <c r="J19" s="37">
        <f>IF(OR(Gruppenphase!$P17=0,I19=0),"",ROUNDDOWN(SUM(Gruppenphase!$I17:$K17),0)*Tore!I19)</f>
        <v>3</v>
      </c>
      <c r="K19" s="37">
        <f>IF(Gruppenphase!$C17=RIGHT(Tore!K$2,1),1,0)</f>
        <v>0</v>
      </c>
      <c r="L19" s="37" t="str">
        <f>IF(OR(Gruppenphase!$P17=0,K19=0),"",ROUNDDOWN(SUM(Gruppenphase!$I17:$K17),0)*Tore!K19)</f>
        <v/>
      </c>
      <c r="M19" s="37">
        <f>IF(Gruppenphase!$C17=RIGHT(Tore!M$2,1),1,0)</f>
        <v>0</v>
      </c>
      <c r="N19" s="37" t="str">
        <f>IF(OR(Gruppenphase!$P17=0,M19=0),"",ROUNDDOWN(SUM(Gruppenphase!$I17:$K17),0)*Tore!M19)</f>
        <v/>
      </c>
      <c r="O19" s="37">
        <f>IF(Gruppenphase!$C17=RIGHT(Tore!O$2,1),1,0)</f>
        <v>0</v>
      </c>
      <c r="P19" s="37" t="str">
        <f>IF(OR(Gruppenphase!$P17=0,O19=0),"",ROUNDDOWN(SUM(Gruppenphase!$I17:$K17),0)*Tore!O19)</f>
        <v/>
      </c>
      <c r="Q19" s="37">
        <f>IF(Gruppenphase!$C17=RIGHT(Tore!Q$2,1),1,0)</f>
        <v>0</v>
      </c>
      <c r="R19" s="37" t="str">
        <f>IF(OR(Gruppenphase!$P17=0,Q19=0),"",ROUNDDOWN(SUM(Gruppenphase!$I17:$K17),0)*Tore!Q19)</f>
        <v/>
      </c>
      <c r="S19" s="37">
        <f>IF(LEFT('KO-Phase'!$B18,2)=Tore!S$2,1,0)</f>
        <v>0</v>
      </c>
      <c r="T19" s="37" t="str">
        <f>IF(OR(ISBLANK('KO-Phase'!$H18),ISBLANK('KO-Phase'!$J18),S19=0),"",ROUNDDOWN(SUM('KO-Phase'!$H18:$J18),0)*Tore!S19)</f>
        <v/>
      </c>
      <c r="U19" s="37">
        <f>IF(LEFT('KO-Phase'!$B18,2)=Tore!U$2,1,0)</f>
        <v>0</v>
      </c>
      <c r="V19" s="37" t="str">
        <f>IF(OR(ISBLANK('KO-Phase'!$H18),ISBLANK('KO-Phase'!$J18),U19=0),"",ROUNDDOWN(SUM('KO-Phase'!$H18:$J18),0)*Tore!U19)</f>
        <v/>
      </c>
      <c r="W19" s="37">
        <f>IF(LEFT('KO-Phase'!$B18,2)=Tore!W$2,1,0)</f>
        <v>0</v>
      </c>
      <c r="X19" s="37" t="str">
        <f>IF(OR(ISBLANK('KO-Phase'!$H18),ISBLANK('KO-Phase'!$J18),W19=0),"",ROUNDDOWN(SUM('KO-Phase'!$H18:$J18),0)*Tore!W19)</f>
        <v/>
      </c>
      <c r="Y19" s="37">
        <f>IF(LEFT('KO-Phase'!$B18,2)=Tore!Y$2,1,0)</f>
        <v>0</v>
      </c>
      <c r="Z19" s="37" t="str">
        <f>IF(OR(ISBLANK('KO-Phase'!$H18),ISBLANK('KO-Phase'!$J18),Y19=0),"",ROUNDDOWN(SUM('KO-Phase'!$H18:$J18),0)*Tore!Y19)</f>
        <v/>
      </c>
      <c r="AK19" s="37"/>
    </row>
    <row r="20" spans="1:37" x14ac:dyDescent="0.3">
      <c r="A20" s="37">
        <f>IF(Gruppenphase!$B18=VALUE(RIGHT(Tore!A$2,1)),1,0)</f>
        <v>0</v>
      </c>
      <c r="B20" s="37" t="str">
        <f>IF(OR(Gruppenphase!$P18=0,A20=0),"",ROUNDDOWN(SUM(Gruppenphase!$I18:$K18),0)*Tore!A20)</f>
        <v/>
      </c>
      <c r="C20" s="37">
        <f>IF(Gruppenphase!$B18=VALUE(RIGHT(Tore!C$2,1)),1,0)</f>
        <v>1</v>
      </c>
      <c r="D20" s="37">
        <f>IF(OR(Gruppenphase!$P18=0,C20=0),"",ROUNDDOWN(SUM(Gruppenphase!$I18:$K18),0)*Tore!C20)</f>
        <v>2</v>
      </c>
      <c r="E20" s="37">
        <f>IF(Gruppenphase!$B18=VALUE(RIGHT(Tore!E$2,1)),1,0)</f>
        <v>0</v>
      </c>
      <c r="F20" s="37" t="str">
        <f>IF(OR(Gruppenphase!$P18=0,E20=0),"",ROUNDDOWN(SUM(Gruppenphase!$I18:$K18),0)*Tore!E20)</f>
        <v/>
      </c>
      <c r="G20" s="37">
        <f>IF(Gruppenphase!$C18=RIGHT(Tore!G$2,1),1,0)</f>
        <v>0</v>
      </c>
      <c r="H20" s="37" t="str">
        <f>IF(OR(Gruppenphase!$P18=0,G20=0),"",ROUNDDOWN(SUM(Gruppenphase!$I18:$K18),0)*Tore!G20)</f>
        <v/>
      </c>
      <c r="I20" s="37">
        <f>IF(Gruppenphase!$C18=RIGHT(Tore!I$2,1),1,0)</f>
        <v>0</v>
      </c>
      <c r="J20" s="37" t="str">
        <f>IF(OR(Gruppenphase!$P18=0,I20=0),"",ROUNDDOWN(SUM(Gruppenphase!$I18:$K18),0)*Tore!I20)</f>
        <v/>
      </c>
      <c r="K20" s="37">
        <f>IF(Gruppenphase!$C18=RIGHT(Tore!K$2,1),1,0)</f>
        <v>1</v>
      </c>
      <c r="L20" s="37">
        <f>IF(OR(Gruppenphase!$P18=0,K20=0),"",ROUNDDOWN(SUM(Gruppenphase!$I18:$K18),0)*Tore!K20)</f>
        <v>2</v>
      </c>
      <c r="M20" s="37">
        <f>IF(Gruppenphase!$C18=RIGHT(Tore!M$2,1),1,0)</f>
        <v>0</v>
      </c>
      <c r="N20" s="37" t="str">
        <f>IF(OR(Gruppenphase!$P18=0,M20=0),"",ROUNDDOWN(SUM(Gruppenphase!$I18:$K18),0)*Tore!M20)</f>
        <v/>
      </c>
      <c r="O20" s="37">
        <f>IF(Gruppenphase!$C18=RIGHT(Tore!O$2,1),1,0)</f>
        <v>0</v>
      </c>
      <c r="P20" s="37" t="str">
        <f>IF(OR(Gruppenphase!$P18=0,O20=0),"",ROUNDDOWN(SUM(Gruppenphase!$I18:$K18),0)*Tore!O20)</f>
        <v/>
      </c>
      <c r="Q20" s="37">
        <f>IF(Gruppenphase!$C18=RIGHT(Tore!Q$2,1),1,0)</f>
        <v>0</v>
      </c>
      <c r="R20" s="37" t="str">
        <f>IF(OR(Gruppenphase!$P18=0,Q20=0),"",ROUNDDOWN(SUM(Gruppenphase!$I18:$K18),0)*Tore!Q20)</f>
        <v/>
      </c>
      <c r="S20" s="37">
        <f>IF(LEFT('KO-Phase'!$B19,2)=Tore!S$2,1,0)</f>
        <v>0</v>
      </c>
      <c r="T20" s="37" t="str">
        <f>IF(OR(ISBLANK('KO-Phase'!$H19),ISBLANK('KO-Phase'!$J19),S20=0),"",ROUNDDOWN(SUM('KO-Phase'!$H19:$J19),0)*Tore!S20)</f>
        <v/>
      </c>
      <c r="U20" s="37">
        <f>IF(LEFT('KO-Phase'!$B19,2)=Tore!U$2,1,0)</f>
        <v>0</v>
      </c>
      <c r="V20" s="37" t="str">
        <f>IF(OR(ISBLANK('KO-Phase'!$H19),ISBLANK('KO-Phase'!$J19),U20=0),"",ROUNDDOWN(SUM('KO-Phase'!$H19:$J19),0)*Tore!U20)</f>
        <v/>
      </c>
      <c r="W20" s="37">
        <f>IF(LEFT('KO-Phase'!$B19,2)=Tore!W$2,1,0)</f>
        <v>0</v>
      </c>
      <c r="X20" s="37" t="str">
        <f>IF(OR(ISBLANK('KO-Phase'!$H19),ISBLANK('KO-Phase'!$J19),W20=0),"",ROUNDDOWN(SUM('KO-Phase'!$H19:$J19),0)*Tore!W20)</f>
        <v/>
      </c>
      <c r="Y20" s="37">
        <f>IF(LEFT('KO-Phase'!$B19,2)=Tore!Y$2,1,0)</f>
        <v>1</v>
      </c>
      <c r="Z20" s="37" t="str">
        <f>IF(OR(ISBLANK('KO-Phase'!$H19),ISBLANK('KO-Phase'!$J19),Y20=0),"",ROUNDDOWN(SUM('KO-Phase'!$H19:$J19),0)*Tore!Y20)</f>
        <v/>
      </c>
      <c r="AK20" s="37"/>
    </row>
    <row r="21" spans="1:37" x14ac:dyDescent="0.3">
      <c r="A21" s="37">
        <f>IF(Gruppenphase!$B19=VALUE(RIGHT(Tore!A$2,1)),1,0)</f>
        <v>0</v>
      </c>
      <c r="B21" s="37" t="str">
        <f>IF(OR(Gruppenphase!$P19=0,A21=0),"",ROUNDDOWN(SUM(Gruppenphase!$I19:$K19),0)*Tore!A21)</f>
        <v/>
      </c>
      <c r="C21" s="37">
        <f>IF(Gruppenphase!$B19=VALUE(RIGHT(Tore!C$2,1)),1,0)</f>
        <v>1</v>
      </c>
      <c r="D21" s="37">
        <f>IF(OR(Gruppenphase!$P19=0,C21=0),"",ROUNDDOWN(SUM(Gruppenphase!$I19:$K19),0)*Tore!C21)</f>
        <v>1</v>
      </c>
      <c r="E21" s="37">
        <f>IF(Gruppenphase!$B19=VALUE(RIGHT(Tore!E$2,1)),1,0)</f>
        <v>0</v>
      </c>
      <c r="F21" s="37" t="str">
        <f>IF(OR(Gruppenphase!$P19=0,E21=0),"",ROUNDDOWN(SUM(Gruppenphase!$I19:$K19),0)*Tore!E21)</f>
        <v/>
      </c>
      <c r="G21" s="37">
        <f>IF(Gruppenphase!$C19=RIGHT(Tore!G$2,1),1,0)</f>
        <v>0</v>
      </c>
      <c r="H21" s="37" t="str">
        <f>IF(OR(Gruppenphase!$P19=0,G21=0),"",ROUNDDOWN(SUM(Gruppenphase!$I19:$K19),0)*Tore!G21)</f>
        <v/>
      </c>
      <c r="I21" s="37">
        <f>IF(Gruppenphase!$C19=RIGHT(Tore!I$2,1),1,0)</f>
        <v>0</v>
      </c>
      <c r="J21" s="37" t="str">
        <f>IF(OR(Gruppenphase!$P19=0,I21=0),"",ROUNDDOWN(SUM(Gruppenphase!$I19:$K19),0)*Tore!I21)</f>
        <v/>
      </c>
      <c r="K21" s="37">
        <f>IF(Gruppenphase!$C19=RIGHT(Tore!K$2,1),1,0)</f>
        <v>0</v>
      </c>
      <c r="L21" s="37" t="str">
        <f>IF(OR(Gruppenphase!$P19=0,K21=0),"",ROUNDDOWN(SUM(Gruppenphase!$I19:$K19),0)*Tore!K21)</f>
        <v/>
      </c>
      <c r="M21" s="37">
        <f>IF(Gruppenphase!$C19=RIGHT(Tore!M$2,1),1,0)</f>
        <v>0</v>
      </c>
      <c r="N21" s="37" t="str">
        <f>IF(OR(Gruppenphase!$P19=0,M21=0),"",ROUNDDOWN(SUM(Gruppenphase!$I19:$K19),0)*Tore!M21)</f>
        <v/>
      </c>
      <c r="O21" s="37">
        <f>IF(Gruppenphase!$C19=RIGHT(Tore!O$2,1),1,0)</f>
        <v>1</v>
      </c>
      <c r="P21" s="37">
        <f>IF(OR(Gruppenphase!$P19=0,O21=0),"",ROUNDDOWN(SUM(Gruppenphase!$I19:$K19),0)*Tore!O21)</f>
        <v>1</v>
      </c>
      <c r="Q21" s="37">
        <f>IF(Gruppenphase!$C19=RIGHT(Tore!Q$2,1),1,0)</f>
        <v>0</v>
      </c>
      <c r="R21" s="37" t="str">
        <f>IF(OR(Gruppenphase!$P19=0,Q21=0),"",ROUNDDOWN(SUM(Gruppenphase!$I19:$K19),0)*Tore!Q21)</f>
        <v/>
      </c>
      <c r="AK21" s="37"/>
    </row>
    <row r="22" spans="1:37" x14ac:dyDescent="0.3">
      <c r="A22" s="37">
        <f>IF(Gruppenphase!$B20=VALUE(RIGHT(Tore!A$2,1)),1,0)</f>
        <v>0</v>
      </c>
      <c r="B22" s="37" t="str">
        <f>IF(OR(Gruppenphase!$P20=0,A22=0),"",ROUNDDOWN(SUM(Gruppenphase!$I20:$K20),0)*Tore!A22)</f>
        <v/>
      </c>
      <c r="C22" s="37">
        <f>IF(Gruppenphase!$B20=VALUE(RIGHT(Tore!C$2,1)),1,0)</f>
        <v>1</v>
      </c>
      <c r="D22" s="37">
        <f>IF(OR(Gruppenphase!$P20=0,C22=0),"",ROUNDDOWN(SUM(Gruppenphase!$I20:$K20),0)*Tore!C22)</f>
        <v>2</v>
      </c>
      <c r="E22" s="37">
        <f>IF(Gruppenphase!$B20=VALUE(RIGHT(Tore!E$2,1)),1,0)</f>
        <v>0</v>
      </c>
      <c r="F22" s="37" t="str">
        <f>IF(OR(Gruppenphase!$P20=0,E22=0),"",ROUNDDOWN(SUM(Gruppenphase!$I20:$K20),0)*Tore!E22)</f>
        <v/>
      </c>
      <c r="G22" s="37">
        <f>IF(Gruppenphase!$C20=RIGHT(Tore!G$2,1),1,0)</f>
        <v>0</v>
      </c>
      <c r="H22" s="37" t="str">
        <f>IF(OR(Gruppenphase!$P20=0,G22=0),"",ROUNDDOWN(SUM(Gruppenphase!$I20:$K20),0)*Tore!G22)</f>
        <v/>
      </c>
      <c r="I22" s="37">
        <f>IF(Gruppenphase!$C20=RIGHT(Tore!I$2,1),1,0)</f>
        <v>0</v>
      </c>
      <c r="J22" s="37" t="str">
        <f>IF(OR(Gruppenphase!$P20=0,I22=0),"",ROUNDDOWN(SUM(Gruppenphase!$I20:$K20),0)*Tore!I22)</f>
        <v/>
      </c>
      <c r="K22" s="37">
        <f>IF(Gruppenphase!$C20=RIGHT(Tore!K$2,1),1,0)</f>
        <v>0</v>
      </c>
      <c r="L22" s="37" t="str">
        <f>IF(OR(Gruppenphase!$P20=0,K22=0),"",ROUNDDOWN(SUM(Gruppenphase!$I20:$K20),0)*Tore!K22)</f>
        <v/>
      </c>
      <c r="M22" s="37">
        <f>IF(Gruppenphase!$C20=RIGHT(Tore!M$2,1),1,0)</f>
        <v>1</v>
      </c>
      <c r="N22" s="37">
        <f>IF(OR(Gruppenphase!$P20=0,M22=0),"",ROUNDDOWN(SUM(Gruppenphase!$I20:$K20),0)*Tore!M22)</f>
        <v>2</v>
      </c>
      <c r="O22" s="37">
        <f>IF(Gruppenphase!$C20=RIGHT(Tore!O$2,1),1,0)</f>
        <v>0</v>
      </c>
      <c r="P22" s="37" t="str">
        <f>IF(OR(Gruppenphase!$P20=0,O22=0),"",ROUNDDOWN(SUM(Gruppenphase!$I20:$K20),0)*Tore!O22)</f>
        <v/>
      </c>
      <c r="Q22" s="37">
        <f>IF(Gruppenphase!$C20=RIGHT(Tore!Q$2,1),1,0)</f>
        <v>0</v>
      </c>
      <c r="R22" s="37" t="str">
        <f>IF(OR(Gruppenphase!$P20=0,Q22=0),"",ROUNDDOWN(SUM(Gruppenphase!$I20:$K20),0)*Tore!Q22)</f>
        <v/>
      </c>
      <c r="AK22" s="37"/>
    </row>
    <row r="23" spans="1:37" x14ac:dyDescent="0.3">
      <c r="A23" s="37">
        <f>IF(Gruppenphase!$B21=VALUE(RIGHT(Tore!A$2,1)),1,0)</f>
        <v>0</v>
      </c>
      <c r="B23" s="37" t="str">
        <f>IF(OR(Gruppenphase!$P21=0,A23=0),"",ROUNDDOWN(SUM(Gruppenphase!$I21:$K21),0)*Tore!A23)</f>
        <v/>
      </c>
      <c r="C23" s="37">
        <f>IF(Gruppenphase!$B21=VALUE(RIGHT(Tore!C$2,1)),1,0)</f>
        <v>1</v>
      </c>
      <c r="D23" s="37">
        <f>IF(OR(Gruppenphase!$P21=0,C23=0),"",ROUNDDOWN(SUM(Gruppenphase!$I21:$K21),0)*Tore!C23)</f>
        <v>0</v>
      </c>
      <c r="E23" s="37">
        <f>IF(Gruppenphase!$B21=VALUE(RIGHT(Tore!E$2,1)),1,0)</f>
        <v>0</v>
      </c>
      <c r="F23" s="37" t="str">
        <f>IF(OR(Gruppenphase!$P21=0,E23=0),"",ROUNDDOWN(SUM(Gruppenphase!$I21:$K21),0)*Tore!E23)</f>
        <v/>
      </c>
      <c r="G23" s="37">
        <f>IF(Gruppenphase!$C21=RIGHT(Tore!G$2,1),1,0)</f>
        <v>0</v>
      </c>
      <c r="H23" s="37" t="str">
        <f>IF(OR(Gruppenphase!$P21=0,G23=0),"",ROUNDDOWN(SUM(Gruppenphase!$I21:$K21),0)*Tore!G23)</f>
        <v/>
      </c>
      <c r="I23" s="37">
        <f>IF(Gruppenphase!$C21=RIGHT(Tore!I$2,1),1,0)</f>
        <v>0</v>
      </c>
      <c r="J23" s="37" t="str">
        <f>IF(OR(Gruppenphase!$P21=0,I23=0),"",ROUNDDOWN(SUM(Gruppenphase!$I21:$K21),0)*Tore!I23)</f>
        <v/>
      </c>
      <c r="K23" s="37">
        <f>IF(Gruppenphase!$C21=RIGHT(Tore!K$2,1),1,0)</f>
        <v>0</v>
      </c>
      <c r="L23" s="37" t="str">
        <f>IF(OR(Gruppenphase!$P21=0,K23=0),"",ROUNDDOWN(SUM(Gruppenphase!$I21:$K21),0)*Tore!K23)</f>
        <v/>
      </c>
      <c r="M23" s="37">
        <f>IF(Gruppenphase!$C21=RIGHT(Tore!M$2,1),1,0)</f>
        <v>1</v>
      </c>
      <c r="N23" s="37">
        <f>IF(OR(Gruppenphase!$P21=0,M23=0),"",ROUNDDOWN(SUM(Gruppenphase!$I21:$K21),0)*Tore!M23)</f>
        <v>0</v>
      </c>
      <c r="O23" s="37">
        <f>IF(Gruppenphase!$C21=RIGHT(Tore!O$2,1),1,0)</f>
        <v>0</v>
      </c>
      <c r="P23" s="37" t="str">
        <f>IF(OR(Gruppenphase!$P21=0,O23=0),"",ROUNDDOWN(SUM(Gruppenphase!$I21:$K21),0)*Tore!O23)</f>
        <v/>
      </c>
      <c r="Q23" s="37">
        <f>IF(Gruppenphase!$C21=RIGHT(Tore!Q$2,1),1,0)</f>
        <v>0</v>
      </c>
      <c r="R23" s="37" t="str">
        <f>IF(OR(Gruppenphase!$P21=0,Q23=0),"",ROUNDDOWN(SUM(Gruppenphase!$I21:$K21),0)*Tore!Q23)</f>
        <v/>
      </c>
      <c r="AK23" s="37"/>
    </row>
    <row r="24" spans="1:37" x14ac:dyDescent="0.3">
      <c r="A24" s="37">
        <f>IF(Gruppenphase!$B22=VALUE(RIGHT(Tore!A$2,1)),1,0)</f>
        <v>0</v>
      </c>
      <c r="B24" s="37" t="str">
        <f>IF(OR(Gruppenphase!$P22=0,A24=0),"",ROUNDDOWN(SUM(Gruppenphase!$I22:$K22),0)*Tore!A24)</f>
        <v/>
      </c>
      <c r="C24" s="37">
        <f>IF(Gruppenphase!$B22=VALUE(RIGHT(Tore!C$2,1)),1,0)</f>
        <v>1</v>
      </c>
      <c r="D24" s="37">
        <f>IF(OR(Gruppenphase!$P22=0,C24=0),"",ROUNDDOWN(SUM(Gruppenphase!$I22:$K22),0)*Tore!C24)</f>
        <v>2</v>
      </c>
      <c r="E24" s="37">
        <f>IF(Gruppenphase!$B22=VALUE(RIGHT(Tore!E$2,1)),1,0)</f>
        <v>0</v>
      </c>
      <c r="F24" s="37" t="str">
        <f>IF(OR(Gruppenphase!$P22=0,E24=0),"",ROUNDDOWN(SUM(Gruppenphase!$I22:$K22),0)*Tore!E24)</f>
        <v/>
      </c>
      <c r="G24" s="37">
        <f>IF(Gruppenphase!$C22=RIGHT(Tore!G$2,1),1,0)</f>
        <v>0</v>
      </c>
      <c r="H24" s="37" t="str">
        <f>IF(OR(Gruppenphase!$P22=0,G24=0),"",ROUNDDOWN(SUM(Gruppenphase!$I22:$K22),0)*Tore!G24)</f>
        <v/>
      </c>
      <c r="I24" s="37">
        <f>IF(Gruppenphase!$C22=RIGHT(Tore!I$2,1),1,0)</f>
        <v>0</v>
      </c>
      <c r="J24" s="37" t="str">
        <f>IF(OR(Gruppenphase!$P22=0,I24=0),"",ROUNDDOWN(SUM(Gruppenphase!$I22:$K22),0)*Tore!I24)</f>
        <v/>
      </c>
      <c r="K24" s="37">
        <f>IF(Gruppenphase!$C22=RIGHT(Tore!K$2,1),1,0)</f>
        <v>0</v>
      </c>
      <c r="L24" s="37" t="str">
        <f>IF(OR(Gruppenphase!$P22=0,K24=0),"",ROUNDDOWN(SUM(Gruppenphase!$I22:$K22),0)*Tore!K24)</f>
        <v/>
      </c>
      <c r="M24" s="37">
        <f>IF(Gruppenphase!$C22=RIGHT(Tore!M$2,1),1,0)</f>
        <v>0</v>
      </c>
      <c r="N24" s="37" t="str">
        <f>IF(OR(Gruppenphase!$P22=0,M24=0),"",ROUNDDOWN(SUM(Gruppenphase!$I22:$K22),0)*Tore!M24)</f>
        <v/>
      </c>
      <c r="O24" s="37">
        <f>IF(Gruppenphase!$C22=RIGHT(Tore!O$2,1),1,0)</f>
        <v>0</v>
      </c>
      <c r="P24" s="37" t="str">
        <f>IF(OR(Gruppenphase!$P22=0,O24=0),"",ROUNDDOWN(SUM(Gruppenphase!$I22:$K22),0)*Tore!O24)</f>
        <v/>
      </c>
      <c r="Q24" s="37">
        <f>IF(Gruppenphase!$C22=RIGHT(Tore!Q$2,1),1,0)</f>
        <v>1</v>
      </c>
      <c r="R24" s="37">
        <f>IF(OR(Gruppenphase!$P22=0,Q24=0),"",ROUNDDOWN(SUM(Gruppenphase!$I22:$K22),0)*Tore!Q24)</f>
        <v>2</v>
      </c>
      <c r="AK24" s="37"/>
    </row>
    <row r="25" spans="1:37" x14ac:dyDescent="0.3">
      <c r="A25" s="37">
        <f>IF(Gruppenphase!$B23=VALUE(RIGHT(Tore!A$2,1)),1,0)</f>
        <v>0</v>
      </c>
      <c r="B25" s="37" t="str">
        <f>IF(OR(Gruppenphase!$P23=0,A25=0),"",ROUNDDOWN(SUM(Gruppenphase!$I23:$K23),0)*Tore!A25)</f>
        <v/>
      </c>
      <c r="C25" s="37">
        <f>IF(Gruppenphase!$B23=VALUE(RIGHT(Tore!C$2,1)),1,0)</f>
        <v>1</v>
      </c>
      <c r="D25" s="37">
        <f>IF(OR(Gruppenphase!$P23=0,C25=0),"",ROUNDDOWN(SUM(Gruppenphase!$I23:$K23),0)*Tore!C25)</f>
        <v>6</v>
      </c>
      <c r="E25" s="37">
        <f>IF(Gruppenphase!$B23=VALUE(RIGHT(Tore!E$2,1)),1,0)</f>
        <v>0</v>
      </c>
      <c r="F25" s="37" t="str">
        <f>IF(OR(Gruppenphase!$P23=0,E25=0),"",ROUNDDOWN(SUM(Gruppenphase!$I23:$K23),0)*Tore!E25)</f>
        <v/>
      </c>
      <c r="G25" s="37">
        <f>IF(Gruppenphase!$C23=RIGHT(Tore!G$2,1),1,0)</f>
        <v>0</v>
      </c>
      <c r="H25" s="37" t="str">
        <f>IF(OR(Gruppenphase!$P23=0,G25=0),"",ROUNDDOWN(SUM(Gruppenphase!$I23:$K23),0)*Tore!G25)</f>
        <v/>
      </c>
      <c r="I25" s="37">
        <f>IF(Gruppenphase!$C23=RIGHT(Tore!I$2,1),1,0)</f>
        <v>0</v>
      </c>
      <c r="J25" s="37" t="str">
        <f>IF(OR(Gruppenphase!$P23=0,I25=0),"",ROUNDDOWN(SUM(Gruppenphase!$I23:$K23),0)*Tore!I25)</f>
        <v/>
      </c>
      <c r="K25" s="37">
        <f>IF(Gruppenphase!$C23=RIGHT(Tore!K$2,1),1,0)</f>
        <v>0</v>
      </c>
      <c r="L25" s="37" t="str">
        <f>IF(OR(Gruppenphase!$P23=0,K25=0),"",ROUNDDOWN(SUM(Gruppenphase!$I23:$K23),0)*Tore!K25)</f>
        <v/>
      </c>
      <c r="M25" s="37">
        <f>IF(Gruppenphase!$C23=RIGHT(Tore!M$2,1),1,0)</f>
        <v>0</v>
      </c>
      <c r="N25" s="37" t="str">
        <f>IF(OR(Gruppenphase!$P23=0,M25=0),"",ROUNDDOWN(SUM(Gruppenphase!$I23:$K23),0)*Tore!M25)</f>
        <v/>
      </c>
      <c r="O25" s="37">
        <f>IF(Gruppenphase!$C23=RIGHT(Tore!O$2,1),1,0)</f>
        <v>0</v>
      </c>
      <c r="P25" s="37" t="str">
        <f>IF(OR(Gruppenphase!$P23=0,O25=0),"",ROUNDDOWN(SUM(Gruppenphase!$I23:$K23),0)*Tore!O25)</f>
        <v/>
      </c>
      <c r="Q25" s="37">
        <f>IF(Gruppenphase!$C23=RIGHT(Tore!Q$2,1),1,0)</f>
        <v>1</v>
      </c>
      <c r="R25" s="37">
        <f>IF(OR(Gruppenphase!$P23=0,Q25=0),"",ROUNDDOWN(SUM(Gruppenphase!$I23:$K23),0)*Tore!Q25)</f>
        <v>6</v>
      </c>
      <c r="AK25" s="37"/>
    </row>
    <row r="26" spans="1:37" x14ac:dyDescent="0.3">
      <c r="A26" s="37">
        <f>IF(Gruppenphase!$B24=VALUE(RIGHT(Tore!A$2,1)),1,0)</f>
        <v>0</v>
      </c>
      <c r="B26" s="37" t="str">
        <f>IF(OR(Gruppenphase!$P24=0,A26=0),"",ROUNDDOWN(SUM(Gruppenphase!$I24:$K24),0)*Tore!A26)</f>
        <v/>
      </c>
      <c r="C26" s="37">
        <f>IF(Gruppenphase!$B24=VALUE(RIGHT(Tore!C$2,1)),1,0)</f>
        <v>1</v>
      </c>
      <c r="D26" s="37">
        <f>IF(OR(Gruppenphase!$P24=0,C26=0),"",ROUNDDOWN(SUM(Gruppenphase!$I24:$K24),0)*Tore!C26)</f>
        <v>2</v>
      </c>
      <c r="E26" s="37">
        <f>IF(Gruppenphase!$B24=VALUE(RIGHT(Tore!E$2,1)),1,0)</f>
        <v>0</v>
      </c>
      <c r="F26" s="37" t="str">
        <f>IF(OR(Gruppenphase!$P24=0,E26=0),"",ROUNDDOWN(SUM(Gruppenphase!$I24:$K24),0)*Tore!E26)</f>
        <v/>
      </c>
      <c r="G26" s="37">
        <f>IF(Gruppenphase!$C24=RIGHT(Tore!G$2,1),1,0)</f>
        <v>0</v>
      </c>
      <c r="H26" s="37" t="str">
        <f>IF(OR(Gruppenphase!$P24=0,G26=0),"",ROUNDDOWN(SUM(Gruppenphase!$I24:$K24),0)*Tore!G26)</f>
        <v/>
      </c>
      <c r="I26" s="37">
        <f>IF(Gruppenphase!$C24=RIGHT(Tore!I$2,1),1,0)</f>
        <v>0</v>
      </c>
      <c r="J26" s="37" t="str">
        <f>IF(OR(Gruppenphase!$P24=0,I26=0),"",ROUNDDOWN(SUM(Gruppenphase!$I24:$K24),0)*Tore!I26)</f>
        <v/>
      </c>
      <c r="K26" s="37">
        <f>IF(Gruppenphase!$C24=RIGHT(Tore!K$2,1),1,0)</f>
        <v>0</v>
      </c>
      <c r="L26" s="37" t="str">
        <f>IF(OR(Gruppenphase!$P24=0,K26=0),"",ROUNDDOWN(SUM(Gruppenphase!$I24:$K24),0)*Tore!K26)</f>
        <v/>
      </c>
      <c r="M26" s="37">
        <f>IF(Gruppenphase!$C24=RIGHT(Tore!M$2,1),1,0)</f>
        <v>0</v>
      </c>
      <c r="N26" s="37" t="str">
        <f>IF(OR(Gruppenphase!$P24=0,M26=0),"",ROUNDDOWN(SUM(Gruppenphase!$I24:$K24),0)*Tore!M26)</f>
        <v/>
      </c>
      <c r="O26" s="37">
        <f>IF(Gruppenphase!$C24=RIGHT(Tore!O$2,1),1,0)</f>
        <v>1</v>
      </c>
      <c r="P26" s="37">
        <f>IF(OR(Gruppenphase!$P24=0,O26=0),"",ROUNDDOWN(SUM(Gruppenphase!$I24:$K24),0)*Tore!O26)</f>
        <v>2</v>
      </c>
      <c r="Q26" s="37">
        <f>IF(Gruppenphase!$C24=RIGHT(Tore!Q$2,1),1,0)</f>
        <v>0</v>
      </c>
      <c r="R26" s="37" t="str">
        <f>IF(OR(Gruppenphase!$P24=0,Q26=0),"",ROUNDDOWN(SUM(Gruppenphase!$I24:$K24),0)*Tore!Q26)</f>
        <v/>
      </c>
      <c r="AK26" s="37"/>
    </row>
    <row r="27" spans="1:37" x14ac:dyDescent="0.3">
      <c r="A27" s="37">
        <f>IF(Gruppenphase!$B25=VALUE(RIGHT(Tore!A$2,1)),1,0)</f>
        <v>0</v>
      </c>
      <c r="B27" s="37" t="str">
        <f>IF(OR(Gruppenphase!$P25=0,A27=0),"",ROUNDDOWN(SUM(Gruppenphase!$I25:$K25),0)*Tore!A27)</f>
        <v/>
      </c>
      <c r="C27" s="37">
        <f>IF(Gruppenphase!$B25=VALUE(RIGHT(Tore!C$2,1)),1,0)</f>
        <v>0</v>
      </c>
      <c r="D27" s="37" t="str">
        <f>IF(OR(Gruppenphase!$P25=0,C27=0),"",ROUNDDOWN(SUM(Gruppenphase!$I25:$K25),0)*Tore!C27)</f>
        <v/>
      </c>
      <c r="E27" s="37">
        <f>IF(Gruppenphase!$B25=VALUE(RIGHT(Tore!E$2,1)),1,0)</f>
        <v>1</v>
      </c>
      <c r="F27" s="37">
        <f>IF(OR(Gruppenphase!$P25=0,E27=0),"",ROUNDDOWN(SUM(Gruppenphase!$I25:$K25),0)*Tore!E27)</f>
        <v>4</v>
      </c>
      <c r="G27" s="37">
        <f>IF(Gruppenphase!$C25=RIGHT(Tore!G$2,1),1,0)</f>
        <v>1</v>
      </c>
      <c r="H27" s="37">
        <f>IF(OR(Gruppenphase!$P25=0,G27=0),"",ROUNDDOWN(SUM(Gruppenphase!$I25:$K25),0)*Tore!G27)</f>
        <v>4</v>
      </c>
      <c r="I27" s="37">
        <f>IF(Gruppenphase!$C25=RIGHT(Tore!I$2,1),1,0)</f>
        <v>0</v>
      </c>
      <c r="J27" s="37" t="str">
        <f>IF(OR(Gruppenphase!$P25=0,I27=0),"",ROUNDDOWN(SUM(Gruppenphase!$I25:$K25),0)*Tore!I27)</f>
        <v/>
      </c>
      <c r="K27" s="37">
        <f>IF(Gruppenphase!$C25=RIGHT(Tore!K$2,1),1,0)</f>
        <v>0</v>
      </c>
      <c r="L27" s="37" t="str">
        <f>IF(OR(Gruppenphase!$P25=0,K27=0),"",ROUNDDOWN(SUM(Gruppenphase!$I25:$K25),0)*Tore!K27)</f>
        <v/>
      </c>
      <c r="M27" s="37">
        <f>IF(Gruppenphase!$C25=RIGHT(Tore!M$2,1),1,0)</f>
        <v>0</v>
      </c>
      <c r="N27" s="37" t="str">
        <f>IF(OR(Gruppenphase!$P25=0,M27=0),"",ROUNDDOWN(SUM(Gruppenphase!$I25:$K25),0)*Tore!M27)</f>
        <v/>
      </c>
      <c r="O27" s="37">
        <f>IF(Gruppenphase!$C25=RIGHT(Tore!O$2,1),1,0)</f>
        <v>0</v>
      </c>
      <c r="P27" s="37" t="str">
        <f>IF(OR(Gruppenphase!$P25=0,O27=0),"",ROUNDDOWN(SUM(Gruppenphase!$I25:$K25),0)*Tore!O27)</f>
        <v/>
      </c>
      <c r="Q27" s="37">
        <f>IF(Gruppenphase!$C25=RIGHT(Tore!Q$2,1),1,0)</f>
        <v>0</v>
      </c>
      <c r="R27" s="37" t="str">
        <f>IF(OR(Gruppenphase!$P25=0,Q27=0),"",ROUNDDOWN(SUM(Gruppenphase!$I25:$K25),0)*Tore!Q27)</f>
        <v/>
      </c>
      <c r="AK27" s="37"/>
    </row>
    <row r="28" spans="1:37" x14ac:dyDescent="0.3">
      <c r="A28" s="37">
        <f>IF(Gruppenphase!$B26=VALUE(RIGHT(Tore!A$2,1)),1,0)</f>
        <v>0</v>
      </c>
      <c r="B28" s="37" t="str">
        <f>IF(OR(Gruppenphase!$P26=0,A28=0),"",ROUNDDOWN(SUM(Gruppenphase!$I26:$K26),0)*Tore!A28)</f>
        <v/>
      </c>
      <c r="C28" s="37">
        <f>IF(Gruppenphase!$B26=VALUE(RIGHT(Tore!C$2,1)),1,0)</f>
        <v>0</v>
      </c>
      <c r="D28" s="37" t="str">
        <f>IF(OR(Gruppenphase!$P26=0,C28=0),"",ROUNDDOWN(SUM(Gruppenphase!$I26:$K26),0)*Tore!C28)</f>
        <v/>
      </c>
      <c r="E28" s="37">
        <f>IF(Gruppenphase!$B26=VALUE(RIGHT(Tore!E$2,1)),1,0)</f>
        <v>1</v>
      </c>
      <c r="F28" s="37">
        <f>IF(OR(Gruppenphase!$P26=0,E28=0),"",ROUNDDOWN(SUM(Gruppenphase!$I26:$K26),0)*Tore!E28)</f>
        <v>1</v>
      </c>
      <c r="G28" s="37">
        <f>IF(Gruppenphase!$C26=RIGHT(Tore!G$2,1),1,0)</f>
        <v>1</v>
      </c>
      <c r="H28" s="37">
        <f>IF(OR(Gruppenphase!$P26=0,G28=0),"",ROUNDDOWN(SUM(Gruppenphase!$I26:$K26),0)*Tore!G28)</f>
        <v>1</v>
      </c>
      <c r="I28" s="37">
        <f>IF(Gruppenphase!$C26=RIGHT(Tore!I$2,1),1,0)</f>
        <v>0</v>
      </c>
      <c r="J28" s="37" t="str">
        <f>IF(OR(Gruppenphase!$P26=0,I28=0),"",ROUNDDOWN(SUM(Gruppenphase!$I26:$K26),0)*Tore!I28)</f>
        <v/>
      </c>
      <c r="K28" s="37">
        <f>IF(Gruppenphase!$C26=RIGHT(Tore!K$2,1),1,0)</f>
        <v>0</v>
      </c>
      <c r="L28" s="37" t="str">
        <f>IF(OR(Gruppenphase!$P26=0,K28=0),"",ROUNDDOWN(SUM(Gruppenphase!$I26:$K26),0)*Tore!K28)</f>
        <v/>
      </c>
      <c r="M28" s="37">
        <f>IF(Gruppenphase!$C26=RIGHT(Tore!M$2,1),1,0)</f>
        <v>0</v>
      </c>
      <c r="N28" s="37" t="str">
        <f>IF(OR(Gruppenphase!$P26=0,M28=0),"",ROUNDDOWN(SUM(Gruppenphase!$I26:$K26),0)*Tore!M28)</f>
        <v/>
      </c>
      <c r="O28" s="37">
        <f>IF(Gruppenphase!$C26=RIGHT(Tore!O$2,1),1,0)</f>
        <v>0</v>
      </c>
      <c r="P28" s="37" t="str">
        <f>IF(OR(Gruppenphase!$P26=0,O28=0),"",ROUNDDOWN(SUM(Gruppenphase!$I26:$K26),0)*Tore!O28)</f>
        <v/>
      </c>
      <c r="Q28" s="37">
        <f>IF(Gruppenphase!$C26=RIGHT(Tore!Q$2,1),1,0)</f>
        <v>0</v>
      </c>
      <c r="R28" s="37" t="str">
        <f>IF(OR(Gruppenphase!$P26=0,Q28=0),"",ROUNDDOWN(SUM(Gruppenphase!$I26:$K26),0)*Tore!Q28)</f>
        <v/>
      </c>
      <c r="AK28" s="37"/>
    </row>
    <row r="29" spans="1:37" x14ac:dyDescent="0.3">
      <c r="A29" s="37">
        <f>IF(Gruppenphase!$B27=VALUE(RIGHT(Tore!A$2,1)),1,0)</f>
        <v>0</v>
      </c>
      <c r="B29" s="37" t="str">
        <f>IF(OR(Gruppenphase!$P27=0,A29=0),"",ROUNDDOWN(SUM(Gruppenphase!$I27:$K27),0)*Tore!A29)</f>
        <v/>
      </c>
      <c r="C29" s="37">
        <f>IF(Gruppenphase!$B27=VALUE(RIGHT(Tore!C$2,1)),1,0)</f>
        <v>0</v>
      </c>
      <c r="D29" s="37" t="str">
        <f>IF(OR(Gruppenphase!$P27=0,C29=0),"",ROUNDDOWN(SUM(Gruppenphase!$I27:$K27),0)*Tore!C29)</f>
        <v/>
      </c>
      <c r="E29" s="37">
        <f>IF(Gruppenphase!$B27=VALUE(RIGHT(Tore!E$2,1)),1,0)</f>
        <v>1</v>
      </c>
      <c r="F29" s="37">
        <f>IF(OR(Gruppenphase!$P27=0,E29=0),"",ROUNDDOWN(SUM(Gruppenphase!$I27:$K27),0)*Tore!E29)</f>
        <v>3</v>
      </c>
      <c r="G29" s="37">
        <f>IF(Gruppenphase!$C27=RIGHT(Tore!G$2,1),1,0)</f>
        <v>0</v>
      </c>
      <c r="H29" s="37" t="str">
        <f>IF(OR(Gruppenphase!$P27=0,G29=0),"",ROUNDDOWN(SUM(Gruppenphase!$I27:$K27),0)*Tore!G29)</f>
        <v/>
      </c>
      <c r="I29" s="37">
        <f>IF(Gruppenphase!$C27=RIGHT(Tore!I$2,1),1,0)</f>
        <v>0</v>
      </c>
      <c r="J29" s="37" t="str">
        <f>IF(OR(Gruppenphase!$P27=0,I29=0),"",ROUNDDOWN(SUM(Gruppenphase!$I27:$K27),0)*Tore!I29)</f>
        <v/>
      </c>
      <c r="K29" s="37">
        <f>IF(Gruppenphase!$C27=RIGHT(Tore!K$2,1),1,0)</f>
        <v>1</v>
      </c>
      <c r="L29" s="37">
        <f>IF(OR(Gruppenphase!$P27=0,K29=0),"",ROUNDDOWN(SUM(Gruppenphase!$I27:$K27),0)*Tore!K29)</f>
        <v>3</v>
      </c>
      <c r="M29" s="37">
        <f>IF(Gruppenphase!$C27=RIGHT(Tore!M$2,1),1,0)</f>
        <v>0</v>
      </c>
      <c r="N29" s="37" t="str">
        <f>IF(OR(Gruppenphase!$P27=0,M29=0),"",ROUNDDOWN(SUM(Gruppenphase!$I27:$K27),0)*Tore!M29)</f>
        <v/>
      </c>
      <c r="O29" s="37">
        <f>IF(Gruppenphase!$C27=RIGHT(Tore!O$2,1),1,0)</f>
        <v>0</v>
      </c>
      <c r="P29" s="37" t="str">
        <f>IF(OR(Gruppenphase!$P27=0,O29=0),"",ROUNDDOWN(SUM(Gruppenphase!$I27:$K27),0)*Tore!O29)</f>
        <v/>
      </c>
      <c r="Q29" s="37">
        <f>IF(Gruppenphase!$C27=RIGHT(Tore!Q$2,1),1,0)</f>
        <v>0</v>
      </c>
      <c r="R29" s="37" t="str">
        <f>IF(OR(Gruppenphase!$P27=0,Q29=0),"",ROUNDDOWN(SUM(Gruppenphase!$I27:$K27),0)*Tore!Q29)</f>
        <v/>
      </c>
      <c r="AK29" s="37"/>
    </row>
    <row r="30" spans="1:37" x14ac:dyDescent="0.3">
      <c r="A30" s="37">
        <f>IF(Gruppenphase!$B28=VALUE(RIGHT(Tore!A$2,1)),1,0)</f>
        <v>0</v>
      </c>
      <c r="B30" s="37" t="str">
        <f>IF(OR(Gruppenphase!$P28=0,A30=0),"",ROUNDDOWN(SUM(Gruppenphase!$I28:$K28),0)*Tore!A30)</f>
        <v/>
      </c>
      <c r="C30" s="37">
        <f>IF(Gruppenphase!$B28=VALUE(RIGHT(Tore!C$2,1)),1,0)</f>
        <v>0</v>
      </c>
      <c r="D30" s="37" t="str">
        <f>IF(OR(Gruppenphase!$P28=0,C30=0),"",ROUNDDOWN(SUM(Gruppenphase!$I28:$K28),0)*Tore!C30)</f>
        <v/>
      </c>
      <c r="E30" s="37">
        <f>IF(Gruppenphase!$B28=VALUE(RIGHT(Tore!E$2,1)),1,0)</f>
        <v>1</v>
      </c>
      <c r="F30" s="37">
        <f>IF(OR(Gruppenphase!$P28=0,E30=0),"",ROUNDDOWN(SUM(Gruppenphase!$I28:$K28),0)*Tore!E30)</f>
        <v>1</v>
      </c>
      <c r="G30" s="37">
        <f>IF(Gruppenphase!$C28=RIGHT(Tore!G$2,1),1,0)</f>
        <v>0</v>
      </c>
      <c r="H30" s="37" t="str">
        <f>IF(OR(Gruppenphase!$P28=0,G30=0),"",ROUNDDOWN(SUM(Gruppenphase!$I28:$K28),0)*Tore!G30)</f>
        <v/>
      </c>
      <c r="I30" s="37">
        <f>IF(Gruppenphase!$C28=RIGHT(Tore!I$2,1),1,0)</f>
        <v>0</v>
      </c>
      <c r="J30" s="37" t="str">
        <f>IF(OR(Gruppenphase!$P28=0,I30=0),"",ROUNDDOWN(SUM(Gruppenphase!$I28:$K28),0)*Tore!I30)</f>
        <v/>
      </c>
      <c r="K30" s="37">
        <f>IF(Gruppenphase!$C28=RIGHT(Tore!K$2,1),1,0)</f>
        <v>1</v>
      </c>
      <c r="L30" s="37">
        <f>IF(OR(Gruppenphase!$P28=0,K30=0),"",ROUNDDOWN(SUM(Gruppenphase!$I28:$K28),0)*Tore!K30)</f>
        <v>1</v>
      </c>
      <c r="M30" s="37">
        <f>IF(Gruppenphase!$C28=RIGHT(Tore!M$2,1),1,0)</f>
        <v>0</v>
      </c>
      <c r="N30" s="37" t="str">
        <f>IF(OR(Gruppenphase!$P28=0,M30=0),"",ROUNDDOWN(SUM(Gruppenphase!$I28:$K28),0)*Tore!M30)</f>
        <v/>
      </c>
      <c r="O30" s="37">
        <f>IF(Gruppenphase!$C28=RIGHT(Tore!O$2,1),1,0)</f>
        <v>0</v>
      </c>
      <c r="P30" s="37" t="str">
        <f>IF(OR(Gruppenphase!$P28=0,O30=0),"",ROUNDDOWN(SUM(Gruppenphase!$I28:$K28),0)*Tore!O30)</f>
        <v/>
      </c>
      <c r="Q30" s="37">
        <f>IF(Gruppenphase!$C28=RIGHT(Tore!Q$2,1),1,0)</f>
        <v>0</v>
      </c>
      <c r="R30" s="37" t="str">
        <f>IF(OR(Gruppenphase!$P28=0,Q30=0),"",ROUNDDOWN(SUM(Gruppenphase!$I28:$K28),0)*Tore!Q30)</f>
        <v/>
      </c>
      <c r="AK30" s="37"/>
    </row>
    <row r="31" spans="1:37" x14ac:dyDescent="0.3">
      <c r="A31" s="37">
        <f>IF(Gruppenphase!$B29=VALUE(RIGHT(Tore!A$2,1)),1,0)</f>
        <v>0</v>
      </c>
      <c r="B31" s="37" t="str">
        <f>IF(OR(Gruppenphase!$P29=0,A31=0),"",ROUNDDOWN(SUM(Gruppenphase!$I29:$K29),0)*Tore!A31)</f>
        <v/>
      </c>
      <c r="C31" s="37">
        <f>IF(Gruppenphase!$B29=VALUE(RIGHT(Tore!C$2,1)),1,0)</f>
        <v>0</v>
      </c>
      <c r="D31" s="37" t="str">
        <f>IF(OR(Gruppenphase!$P29=0,C31=0),"",ROUNDDOWN(SUM(Gruppenphase!$I29:$K29),0)*Tore!C31)</f>
        <v/>
      </c>
      <c r="E31" s="37">
        <f>IF(Gruppenphase!$B29=VALUE(RIGHT(Tore!E$2,1)),1,0)</f>
        <v>1</v>
      </c>
      <c r="F31" s="37">
        <f>IF(OR(Gruppenphase!$P29=0,E31=0),"",ROUNDDOWN(SUM(Gruppenphase!$I29:$K29),0)*Tore!E31)</f>
        <v>5</v>
      </c>
      <c r="G31" s="37">
        <f>IF(Gruppenphase!$C29=RIGHT(Tore!G$2,1),1,0)</f>
        <v>0</v>
      </c>
      <c r="H31" s="37" t="str">
        <f>IF(OR(Gruppenphase!$P29=0,G31=0),"",ROUNDDOWN(SUM(Gruppenphase!$I29:$K29),0)*Tore!G31)</f>
        <v/>
      </c>
      <c r="I31" s="37">
        <f>IF(Gruppenphase!$C29=RIGHT(Tore!I$2,1),1,0)</f>
        <v>1</v>
      </c>
      <c r="J31" s="37">
        <f>IF(OR(Gruppenphase!$P29=0,I31=0),"",ROUNDDOWN(SUM(Gruppenphase!$I29:$K29),0)*Tore!I31)</f>
        <v>5</v>
      </c>
      <c r="K31" s="37">
        <f>IF(Gruppenphase!$C29=RIGHT(Tore!K$2,1),1,0)</f>
        <v>0</v>
      </c>
      <c r="L31" s="37" t="str">
        <f>IF(OR(Gruppenphase!$P29=0,K31=0),"",ROUNDDOWN(SUM(Gruppenphase!$I29:$K29),0)*Tore!K31)</f>
        <v/>
      </c>
      <c r="M31" s="37">
        <f>IF(Gruppenphase!$C29=RIGHT(Tore!M$2,1),1,0)</f>
        <v>0</v>
      </c>
      <c r="N31" s="37" t="str">
        <f>IF(OR(Gruppenphase!$P29=0,M31=0),"",ROUNDDOWN(SUM(Gruppenphase!$I29:$K29),0)*Tore!M31)</f>
        <v/>
      </c>
      <c r="O31" s="37">
        <f>IF(Gruppenphase!$C29=RIGHT(Tore!O$2,1),1,0)</f>
        <v>0</v>
      </c>
      <c r="P31" s="37" t="str">
        <f>IF(OR(Gruppenphase!$P29=0,O31=0),"",ROUNDDOWN(SUM(Gruppenphase!$I29:$K29),0)*Tore!O31)</f>
        <v/>
      </c>
      <c r="Q31" s="37">
        <f>IF(Gruppenphase!$C29=RIGHT(Tore!Q$2,1),1,0)</f>
        <v>0</v>
      </c>
      <c r="R31" s="37" t="str">
        <f>IF(OR(Gruppenphase!$P29=0,Q31=0),"",ROUNDDOWN(SUM(Gruppenphase!$I29:$K29),0)*Tore!Q31)</f>
        <v/>
      </c>
      <c r="AK31" s="37"/>
    </row>
    <row r="32" spans="1:37" x14ac:dyDescent="0.3">
      <c r="A32" s="37">
        <f>IF(Gruppenphase!$B30=VALUE(RIGHT(Tore!A$2,1)),1,0)</f>
        <v>0</v>
      </c>
      <c r="B32" s="37" t="str">
        <f>IF(OR(Gruppenphase!$P30=0,A32=0),"",ROUNDDOWN(SUM(Gruppenphase!$I30:$K30),0)*Tore!A32)</f>
        <v/>
      </c>
      <c r="C32" s="37">
        <f>IF(Gruppenphase!$B30=VALUE(RIGHT(Tore!C$2,1)),1,0)</f>
        <v>0</v>
      </c>
      <c r="D32" s="37" t="str">
        <f>IF(OR(Gruppenphase!$P30=0,C32=0),"",ROUNDDOWN(SUM(Gruppenphase!$I30:$K30),0)*Tore!C32)</f>
        <v/>
      </c>
      <c r="E32" s="37">
        <f>IF(Gruppenphase!$B30=VALUE(RIGHT(Tore!E$2,1)),1,0)</f>
        <v>1</v>
      </c>
      <c r="F32" s="37">
        <f>IF(OR(Gruppenphase!$P30=0,E32=0),"",ROUNDDOWN(SUM(Gruppenphase!$I30:$K30),0)*Tore!E32)</f>
        <v>2</v>
      </c>
      <c r="G32" s="37">
        <f>IF(Gruppenphase!$C30=RIGHT(Tore!G$2,1),1,0)</f>
        <v>0</v>
      </c>
      <c r="H32" s="37" t="str">
        <f>IF(OR(Gruppenphase!$P30=0,G32=0),"",ROUNDDOWN(SUM(Gruppenphase!$I30:$K30),0)*Tore!G32)</f>
        <v/>
      </c>
      <c r="I32" s="37">
        <f>IF(Gruppenphase!$C30=RIGHT(Tore!I$2,1),1,0)</f>
        <v>1</v>
      </c>
      <c r="J32" s="37">
        <f>IF(OR(Gruppenphase!$P30=0,I32=0),"",ROUNDDOWN(SUM(Gruppenphase!$I30:$K30),0)*Tore!I32)</f>
        <v>2</v>
      </c>
      <c r="K32" s="37">
        <f>IF(Gruppenphase!$C30=RIGHT(Tore!K$2,1),1,0)</f>
        <v>0</v>
      </c>
      <c r="L32" s="37" t="str">
        <f>IF(OR(Gruppenphase!$P30=0,K32=0),"",ROUNDDOWN(SUM(Gruppenphase!$I30:$K30),0)*Tore!K32)</f>
        <v/>
      </c>
      <c r="M32" s="37">
        <f>IF(Gruppenphase!$C30=RIGHT(Tore!M$2,1),1,0)</f>
        <v>0</v>
      </c>
      <c r="N32" s="37" t="str">
        <f>IF(OR(Gruppenphase!$P30=0,M32=0),"",ROUNDDOWN(SUM(Gruppenphase!$I30:$K30),0)*Tore!M32)</f>
        <v/>
      </c>
      <c r="O32" s="37">
        <f>IF(Gruppenphase!$C30=RIGHT(Tore!O$2,1),1,0)</f>
        <v>0</v>
      </c>
      <c r="P32" s="37" t="str">
        <f>IF(OR(Gruppenphase!$P30=0,O32=0),"",ROUNDDOWN(SUM(Gruppenphase!$I30:$K30),0)*Tore!O32)</f>
        <v/>
      </c>
      <c r="Q32" s="37">
        <f>IF(Gruppenphase!$C30=RIGHT(Tore!Q$2,1),1,0)</f>
        <v>0</v>
      </c>
      <c r="R32" s="37" t="str">
        <f>IF(OR(Gruppenphase!$P30=0,Q32=0),"",ROUNDDOWN(SUM(Gruppenphase!$I30:$K30),0)*Tore!Q32)</f>
        <v/>
      </c>
      <c r="AK32" s="37"/>
    </row>
    <row r="33" spans="1:37" x14ac:dyDescent="0.3">
      <c r="A33" s="37">
        <f>IF(Gruppenphase!$B31=VALUE(RIGHT(Tore!A$2,1)),1,0)</f>
        <v>0</v>
      </c>
      <c r="B33" s="37" t="str">
        <f>IF(OR(Gruppenphase!$P31=0,A33=0),"",ROUNDDOWN(SUM(Gruppenphase!$I31:$K31),0)*Tore!A33)</f>
        <v/>
      </c>
      <c r="C33" s="37">
        <f>IF(Gruppenphase!$B31=VALUE(RIGHT(Tore!C$2,1)),1,0)</f>
        <v>0</v>
      </c>
      <c r="D33" s="37" t="str">
        <f>IF(OR(Gruppenphase!$P31=0,C33=0),"",ROUNDDOWN(SUM(Gruppenphase!$I31:$K31),0)*Tore!C33)</f>
        <v/>
      </c>
      <c r="E33" s="37">
        <f>IF(Gruppenphase!$B31=VALUE(RIGHT(Tore!E$2,1)),1,0)</f>
        <v>1</v>
      </c>
      <c r="F33" s="37">
        <f>IF(OR(Gruppenphase!$P31=0,E33=0),"",ROUNDDOWN(SUM(Gruppenphase!$I31:$K31),0)*Tore!E33)</f>
        <v>4</v>
      </c>
      <c r="G33" s="37">
        <f>IF(Gruppenphase!$C31=RIGHT(Tore!G$2,1),1,0)</f>
        <v>0</v>
      </c>
      <c r="H33" s="37" t="str">
        <f>IF(OR(Gruppenphase!$P31=0,G33=0),"",ROUNDDOWN(SUM(Gruppenphase!$I31:$K31),0)*Tore!G33)</f>
        <v/>
      </c>
      <c r="I33" s="37">
        <f>IF(Gruppenphase!$C31=RIGHT(Tore!I$2,1),1,0)</f>
        <v>0</v>
      </c>
      <c r="J33" s="37" t="str">
        <f>IF(OR(Gruppenphase!$P31=0,I33=0),"",ROUNDDOWN(SUM(Gruppenphase!$I31:$K31),0)*Tore!I33)</f>
        <v/>
      </c>
      <c r="K33" s="37">
        <f>IF(Gruppenphase!$C31=RIGHT(Tore!K$2,1),1,0)</f>
        <v>0</v>
      </c>
      <c r="L33" s="37" t="str">
        <f>IF(OR(Gruppenphase!$P31=0,K33=0),"",ROUNDDOWN(SUM(Gruppenphase!$I31:$K31),0)*Tore!K33)</f>
        <v/>
      </c>
      <c r="M33" s="37">
        <f>IF(Gruppenphase!$C31=RIGHT(Tore!M$2,1),1,0)</f>
        <v>1</v>
      </c>
      <c r="N33" s="37">
        <f>IF(OR(Gruppenphase!$P31=0,M33=0),"",ROUNDDOWN(SUM(Gruppenphase!$I31:$K31),0)*Tore!M33)</f>
        <v>4</v>
      </c>
      <c r="O33" s="37">
        <f>IF(Gruppenphase!$C31=RIGHT(Tore!O$2,1),1,0)</f>
        <v>0</v>
      </c>
      <c r="P33" s="37" t="str">
        <f>IF(OR(Gruppenphase!$P31=0,O33=0),"",ROUNDDOWN(SUM(Gruppenphase!$I31:$K31),0)*Tore!O33)</f>
        <v/>
      </c>
      <c r="Q33" s="37">
        <f>IF(Gruppenphase!$C31=RIGHT(Tore!Q$2,1),1,0)</f>
        <v>0</v>
      </c>
      <c r="R33" s="37" t="str">
        <f>IF(OR(Gruppenphase!$P31=0,Q33=0),"",ROUNDDOWN(SUM(Gruppenphase!$I31:$K31),0)*Tore!Q33)</f>
        <v/>
      </c>
      <c r="AK33" s="37"/>
    </row>
    <row r="34" spans="1:37" x14ac:dyDescent="0.3">
      <c r="A34" s="37">
        <f>IF(Gruppenphase!$B32=VALUE(RIGHT(Tore!A$2,1)),1,0)</f>
        <v>0</v>
      </c>
      <c r="B34" s="37" t="str">
        <f>IF(OR(Gruppenphase!$P32=0,A34=0),"",ROUNDDOWN(SUM(Gruppenphase!$I32:$K32),0)*Tore!A34)</f>
        <v/>
      </c>
      <c r="C34" s="37">
        <f>IF(Gruppenphase!$B32=VALUE(RIGHT(Tore!C$2,1)),1,0)</f>
        <v>0</v>
      </c>
      <c r="D34" s="37" t="str">
        <f>IF(OR(Gruppenphase!$P32=0,C34=0),"",ROUNDDOWN(SUM(Gruppenphase!$I32:$K32),0)*Tore!C34)</f>
        <v/>
      </c>
      <c r="E34" s="37">
        <f>IF(Gruppenphase!$B32=VALUE(RIGHT(Tore!E$2,1)),1,0)</f>
        <v>1</v>
      </c>
      <c r="F34" s="37">
        <f>IF(OR(Gruppenphase!$P32=0,E34=0),"",ROUNDDOWN(SUM(Gruppenphase!$I32:$K32),0)*Tore!E34)</f>
        <v>1</v>
      </c>
      <c r="G34" s="37">
        <f>IF(Gruppenphase!$C32=RIGHT(Tore!G$2,1),1,0)</f>
        <v>0</v>
      </c>
      <c r="H34" s="37" t="str">
        <f>IF(OR(Gruppenphase!$P32=0,G34=0),"",ROUNDDOWN(SUM(Gruppenphase!$I32:$K32),0)*Tore!G34)</f>
        <v/>
      </c>
      <c r="I34" s="37">
        <f>IF(Gruppenphase!$C32=RIGHT(Tore!I$2,1),1,0)</f>
        <v>0</v>
      </c>
      <c r="J34" s="37" t="str">
        <f>IF(OR(Gruppenphase!$P32=0,I34=0),"",ROUNDDOWN(SUM(Gruppenphase!$I32:$K32),0)*Tore!I34)</f>
        <v/>
      </c>
      <c r="K34" s="37">
        <f>IF(Gruppenphase!$C32=RIGHT(Tore!K$2,1),1,0)</f>
        <v>0</v>
      </c>
      <c r="L34" s="37" t="str">
        <f>IF(OR(Gruppenphase!$P32=0,K34=0),"",ROUNDDOWN(SUM(Gruppenphase!$I32:$K32),0)*Tore!K34)</f>
        <v/>
      </c>
      <c r="M34" s="37">
        <f>IF(Gruppenphase!$C32=RIGHT(Tore!M$2,1),1,0)</f>
        <v>1</v>
      </c>
      <c r="N34" s="37">
        <f>IF(OR(Gruppenphase!$P32=0,M34=0),"",ROUNDDOWN(SUM(Gruppenphase!$I32:$K32),0)*Tore!M34)</f>
        <v>1</v>
      </c>
      <c r="O34" s="37">
        <f>IF(Gruppenphase!$C32=RIGHT(Tore!O$2,1),1,0)</f>
        <v>0</v>
      </c>
      <c r="P34" s="37" t="str">
        <f>IF(OR(Gruppenphase!$P32=0,O34=0),"",ROUNDDOWN(SUM(Gruppenphase!$I32:$K32),0)*Tore!O34)</f>
        <v/>
      </c>
      <c r="Q34" s="37">
        <f>IF(Gruppenphase!$C32=RIGHT(Tore!Q$2,1),1,0)</f>
        <v>0</v>
      </c>
      <c r="R34" s="37" t="str">
        <f>IF(OR(Gruppenphase!$P32=0,Q34=0),"",ROUNDDOWN(SUM(Gruppenphase!$I32:$K32),0)*Tore!Q34)</f>
        <v/>
      </c>
      <c r="AK34" s="37"/>
    </row>
    <row r="35" spans="1:37" x14ac:dyDescent="0.3">
      <c r="A35" s="37">
        <f>IF(Gruppenphase!$B33=VALUE(RIGHT(Tore!A$2,1)),1,0)</f>
        <v>0</v>
      </c>
      <c r="B35" s="37" t="str">
        <f>IF(OR(Gruppenphase!$P33=0,A35=0),"",ROUNDDOWN(SUM(Gruppenphase!$I33:$K33),0)*Tore!A35)</f>
        <v/>
      </c>
      <c r="C35" s="37">
        <f>IF(Gruppenphase!$B33=VALUE(RIGHT(Tore!C$2,1)),1,0)</f>
        <v>0</v>
      </c>
      <c r="D35" s="37" t="str">
        <f>IF(OR(Gruppenphase!$P33=0,C35=0),"",ROUNDDOWN(SUM(Gruppenphase!$I33:$K33),0)*Tore!C35)</f>
        <v/>
      </c>
      <c r="E35" s="37">
        <f>IF(Gruppenphase!$B33=VALUE(RIGHT(Tore!E$2,1)),1,0)</f>
        <v>1</v>
      </c>
      <c r="F35" s="37">
        <f>IF(OR(Gruppenphase!$P33=0,E35=0),"",ROUNDDOWN(SUM(Gruppenphase!$I33:$K33),0)*Tore!E35)</f>
        <v>5</v>
      </c>
      <c r="G35" s="37">
        <f>IF(Gruppenphase!$C33=RIGHT(Tore!G$2,1),1,0)</f>
        <v>0</v>
      </c>
      <c r="H35" s="37" t="str">
        <f>IF(OR(Gruppenphase!$P33=0,G35=0),"",ROUNDDOWN(SUM(Gruppenphase!$I33:$K33),0)*Tore!G35)</f>
        <v/>
      </c>
      <c r="I35" s="37">
        <f>IF(Gruppenphase!$C33=RIGHT(Tore!I$2,1),1,0)</f>
        <v>0</v>
      </c>
      <c r="J35" s="37" t="str">
        <f>IF(OR(Gruppenphase!$P33=0,I35=0),"",ROUNDDOWN(SUM(Gruppenphase!$I33:$K33),0)*Tore!I35)</f>
        <v/>
      </c>
      <c r="K35" s="37">
        <f>IF(Gruppenphase!$C33=RIGHT(Tore!K$2,1),1,0)</f>
        <v>0</v>
      </c>
      <c r="L35" s="37" t="str">
        <f>IF(OR(Gruppenphase!$P33=0,K35=0),"",ROUNDDOWN(SUM(Gruppenphase!$I33:$K33),0)*Tore!K35)</f>
        <v/>
      </c>
      <c r="M35" s="37">
        <f>IF(Gruppenphase!$C33=RIGHT(Tore!M$2,1),1,0)</f>
        <v>0</v>
      </c>
      <c r="N35" s="37" t="str">
        <f>IF(OR(Gruppenphase!$P33=0,M35=0),"",ROUNDDOWN(SUM(Gruppenphase!$I33:$K33),0)*Tore!M35)</f>
        <v/>
      </c>
      <c r="O35" s="37">
        <f>IF(Gruppenphase!$C33=RIGHT(Tore!O$2,1),1,0)</f>
        <v>1</v>
      </c>
      <c r="P35" s="37">
        <f>IF(OR(Gruppenphase!$P33=0,O35=0),"",ROUNDDOWN(SUM(Gruppenphase!$I33:$K33),0)*Tore!O35)</f>
        <v>5</v>
      </c>
      <c r="Q35" s="37">
        <f>IF(Gruppenphase!$C33=RIGHT(Tore!Q$2,1),1,0)</f>
        <v>0</v>
      </c>
      <c r="R35" s="37" t="str">
        <f>IF(OR(Gruppenphase!$P33=0,Q35=0),"",ROUNDDOWN(SUM(Gruppenphase!$I33:$K33),0)*Tore!Q35)</f>
        <v/>
      </c>
      <c r="AK35" s="37"/>
    </row>
    <row r="36" spans="1:37" x14ac:dyDescent="0.3">
      <c r="A36" s="37">
        <f>IF(Gruppenphase!$B34=VALUE(RIGHT(Tore!A$2,1)),1,0)</f>
        <v>0</v>
      </c>
      <c r="B36" s="37" t="str">
        <f>IF(OR(Gruppenphase!$P34=0,A36=0),"",ROUNDDOWN(SUM(Gruppenphase!$I34:$K34),0)*Tore!A36)</f>
        <v/>
      </c>
      <c r="C36" s="37">
        <f>IF(Gruppenphase!$B34=VALUE(RIGHT(Tore!C$2,1)),1,0)</f>
        <v>0</v>
      </c>
      <c r="D36" s="37" t="str">
        <f>IF(OR(Gruppenphase!$P34=0,C36=0),"",ROUNDDOWN(SUM(Gruppenphase!$I34:$K34),0)*Tore!C36)</f>
        <v/>
      </c>
      <c r="E36" s="37">
        <f>IF(Gruppenphase!$B34=VALUE(RIGHT(Tore!E$2,1)),1,0)</f>
        <v>1</v>
      </c>
      <c r="F36" s="37">
        <f>IF(OR(Gruppenphase!$P34=0,E36=0),"",ROUNDDOWN(SUM(Gruppenphase!$I34:$K34),0)*Tore!E36)</f>
        <v>5</v>
      </c>
      <c r="G36" s="37">
        <f>IF(Gruppenphase!$C34=RIGHT(Tore!G$2,1),1,0)</f>
        <v>0</v>
      </c>
      <c r="H36" s="37" t="str">
        <f>IF(OR(Gruppenphase!$P34=0,G36=0),"",ROUNDDOWN(SUM(Gruppenphase!$I34:$K34),0)*Tore!G36)</f>
        <v/>
      </c>
      <c r="I36" s="37">
        <f>IF(Gruppenphase!$C34=RIGHT(Tore!I$2,1),1,0)</f>
        <v>0</v>
      </c>
      <c r="J36" s="37" t="str">
        <f>IF(OR(Gruppenphase!$P34=0,I36=0),"",ROUNDDOWN(SUM(Gruppenphase!$I34:$K34),0)*Tore!I36)</f>
        <v/>
      </c>
      <c r="K36" s="37">
        <f>IF(Gruppenphase!$C34=RIGHT(Tore!K$2,1),1,0)</f>
        <v>0</v>
      </c>
      <c r="L36" s="37" t="str">
        <f>IF(OR(Gruppenphase!$P34=0,K36=0),"",ROUNDDOWN(SUM(Gruppenphase!$I34:$K34),0)*Tore!K36)</f>
        <v/>
      </c>
      <c r="M36" s="37">
        <f>IF(Gruppenphase!$C34=RIGHT(Tore!M$2,1),1,0)</f>
        <v>0</v>
      </c>
      <c r="N36" s="37" t="str">
        <f>IF(OR(Gruppenphase!$P34=0,M36=0),"",ROUNDDOWN(SUM(Gruppenphase!$I34:$K34),0)*Tore!M36)</f>
        <v/>
      </c>
      <c r="O36" s="37">
        <f>IF(Gruppenphase!$C34=RIGHT(Tore!O$2,1),1,0)</f>
        <v>1</v>
      </c>
      <c r="P36" s="37">
        <f>IF(OR(Gruppenphase!$P34=0,O36=0),"",ROUNDDOWN(SUM(Gruppenphase!$I34:$K34),0)*Tore!O36)</f>
        <v>5</v>
      </c>
      <c r="Q36" s="37">
        <f>IF(Gruppenphase!$C34=RIGHT(Tore!Q$2,1),1,0)</f>
        <v>0</v>
      </c>
      <c r="R36" s="37" t="str">
        <f>IF(OR(Gruppenphase!$P34=0,Q36=0),"",ROUNDDOWN(SUM(Gruppenphase!$I34:$K34),0)*Tore!Q36)</f>
        <v/>
      </c>
      <c r="AK36" s="37"/>
    </row>
    <row r="37" spans="1:37" x14ac:dyDescent="0.3">
      <c r="A37" s="37">
        <f>IF(Gruppenphase!$B35=VALUE(RIGHT(Tore!A$2,1)),1,0)</f>
        <v>0</v>
      </c>
      <c r="B37" s="37" t="str">
        <f>IF(OR(Gruppenphase!$P35=0,A37=0),"",ROUNDDOWN(SUM(Gruppenphase!$I35:$K35),0)*Tore!A37)</f>
        <v/>
      </c>
      <c r="C37" s="37">
        <f>IF(Gruppenphase!$B35=VALUE(RIGHT(Tore!C$2,1)),1,0)</f>
        <v>0</v>
      </c>
      <c r="D37" s="37" t="str">
        <f>IF(OR(Gruppenphase!$P35=0,C37=0),"",ROUNDDOWN(SUM(Gruppenphase!$I35:$K35),0)*Tore!C37)</f>
        <v/>
      </c>
      <c r="E37" s="37">
        <f>IF(Gruppenphase!$B35=VALUE(RIGHT(Tore!E$2,1)),1,0)</f>
        <v>1</v>
      </c>
      <c r="F37" s="37">
        <f>IF(OR(Gruppenphase!$P35=0,E37=0),"",ROUNDDOWN(SUM(Gruppenphase!$I35:$K35),0)*Tore!E37)</f>
        <v>4</v>
      </c>
      <c r="G37" s="37">
        <f>IF(Gruppenphase!$C35=RIGHT(Tore!G$2,1),1,0)</f>
        <v>0</v>
      </c>
      <c r="H37" s="37" t="str">
        <f>IF(OR(Gruppenphase!$P35=0,G37=0),"",ROUNDDOWN(SUM(Gruppenphase!$I35:$K35),0)*Tore!G37)</f>
        <v/>
      </c>
      <c r="I37" s="37">
        <f>IF(Gruppenphase!$C35=RIGHT(Tore!I$2,1),1,0)</f>
        <v>0</v>
      </c>
      <c r="J37" s="37" t="str">
        <f>IF(OR(Gruppenphase!$P35=0,I37=0),"",ROUNDDOWN(SUM(Gruppenphase!$I35:$K35),0)*Tore!I37)</f>
        <v/>
      </c>
      <c r="K37" s="37">
        <f>IF(Gruppenphase!$C35=RIGHT(Tore!K$2,1),1,0)</f>
        <v>0</v>
      </c>
      <c r="L37" s="37" t="str">
        <f>IF(OR(Gruppenphase!$P35=0,K37=0),"",ROUNDDOWN(SUM(Gruppenphase!$I35:$K35),0)*Tore!K37)</f>
        <v/>
      </c>
      <c r="M37" s="37">
        <f>IF(Gruppenphase!$C35=RIGHT(Tore!M$2,1),1,0)</f>
        <v>0</v>
      </c>
      <c r="N37" s="37" t="str">
        <f>IF(OR(Gruppenphase!$P35=0,M37=0),"",ROUNDDOWN(SUM(Gruppenphase!$I35:$K35),0)*Tore!M37)</f>
        <v/>
      </c>
      <c r="O37" s="37">
        <f>IF(Gruppenphase!$C35=RIGHT(Tore!O$2,1),1,0)</f>
        <v>0</v>
      </c>
      <c r="P37" s="37" t="str">
        <f>IF(OR(Gruppenphase!$P35=0,O37=0),"",ROUNDDOWN(SUM(Gruppenphase!$I35:$K35),0)*Tore!O37)</f>
        <v/>
      </c>
      <c r="Q37" s="37">
        <f>IF(Gruppenphase!$C35=RIGHT(Tore!Q$2,1),1,0)</f>
        <v>1</v>
      </c>
      <c r="R37" s="37">
        <f>IF(OR(Gruppenphase!$P35=0,Q37=0),"",ROUNDDOWN(SUM(Gruppenphase!$I35:$K35),0)*Tore!Q37)</f>
        <v>4</v>
      </c>
      <c r="AK37" s="37"/>
    </row>
    <row r="38" spans="1:37" x14ac:dyDescent="0.3">
      <c r="A38" s="37">
        <f>IF(Gruppenphase!$B36=VALUE(RIGHT(Tore!A$2,1)),1,0)</f>
        <v>0</v>
      </c>
      <c r="B38" s="37" t="str">
        <f>IF(OR(Gruppenphase!$P36=0,A38=0),"",ROUNDDOWN(SUM(Gruppenphase!$I36:$K36),0)*Tore!A38)</f>
        <v/>
      </c>
      <c r="C38" s="37">
        <f>IF(Gruppenphase!$B36=VALUE(RIGHT(Tore!C$2,1)),1,0)</f>
        <v>0</v>
      </c>
      <c r="D38" s="37" t="str">
        <f>IF(OR(Gruppenphase!$P36=0,C38=0),"",ROUNDDOWN(SUM(Gruppenphase!$I36:$K36),0)*Tore!C38)</f>
        <v/>
      </c>
      <c r="E38" s="37">
        <f>IF(Gruppenphase!$B36=VALUE(RIGHT(Tore!E$2,1)),1,0)</f>
        <v>1</v>
      </c>
      <c r="F38" s="37">
        <f>IF(OR(Gruppenphase!$P36=0,E38=0),"",ROUNDDOWN(SUM(Gruppenphase!$I36:$K36),0)*Tore!E38)</f>
        <v>4</v>
      </c>
      <c r="G38" s="37">
        <f>IF(Gruppenphase!$C36=RIGHT(Tore!G$2,1),1,0)</f>
        <v>0</v>
      </c>
      <c r="H38" s="37" t="str">
        <f>IF(OR(Gruppenphase!$P36=0,G38=0),"",ROUNDDOWN(SUM(Gruppenphase!$I36:$K36),0)*Tore!G38)</f>
        <v/>
      </c>
      <c r="I38" s="37">
        <f>IF(Gruppenphase!$C36=RIGHT(Tore!I$2,1),1,0)</f>
        <v>0</v>
      </c>
      <c r="J38" s="37" t="str">
        <f>IF(OR(Gruppenphase!$P36=0,I38=0),"",ROUNDDOWN(SUM(Gruppenphase!$I36:$K36),0)*Tore!I38)</f>
        <v/>
      </c>
      <c r="K38" s="37">
        <f>IF(Gruppenphase!$C36=RIGHT(Tore!K$2,1),1,0)</f>
        <v>0</v>
      </c>
      <c r="L38" s="37" t="str">
        <f>IF(OR(Gruppenphase!$P36=0,K38=0),"",ROUNDDOWN(SUM(Gruppenphase!$I36:$K36),0)*Tore!K38)</f>
        <v/>
      </c>
      <c r="M38" s="37">
        <f>IF(Gruppenphase!$C36=RIGHT(Tore!M$2,1),1,0)</f>
        <v>0</v>
      </c>
      <c r="N38" s="37" t="str">
        <f>IF(OR(Gruppenphase!$P36=0,M38=0),"",ROUNDDOWN(SUM(Gruppenphase!$I36:$K36),0)*Tore!M38)</f>
        <v/>
      </c>
      <c r="O38" s="37">
        <f>IF(Gruppenphase!$C36=RIGHT(Tore!O$2,1),1,0)</f>
        <v>0</v>
      </c>
      <c r="P38" s="37" t="str">
        <f>IF(OR(Gruppenphase!$P36=0,O38=0),"",ROUNDDOWN(SUM(Gruppenphase!$I36:$K36),0)*Tore!O38)</f>
        <v/>
      </c>
      <c r="Q38" s="37">
        <f>IF(Gruppenphase!$C36=RIGHT(Tore!Q$2,1),1,0)</f>
        <v>1</v>
      </c>
      <c r="R38" s="37">
        <f>IF(OR(Gruppenphase!$P36=0,Q38=0),"",ROUNDDOWN(SUM(Gruppenphase!$I36:$K36),0)*Tore!Q38)</f>
        <v>4</v>
      </c>
      <c r="AK38" s="37"/>
    </row>
  </sheetData>
  <mergeCells count="1">
    <mergeCell ref="AC2:AD2"/>
  </mergeCells>
  <conditionalFormatting sqref="AD3:AD18">
    <cfRule type="dataBar" priority="2">
      <dataBar showValue="0"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{7890656B-5E34-4543-A15E-1236924D67A6}</x14:id>
        </ext>
      </extLst>
    </cfRule>
  </conditionalFormatting>
  <conditionalFormatting sqref="AG3:AG17">
    <cfRule type="expression" dxfId="0" priority="1">
      <formula>AND(AG3&lt;&gt;"-",AG3&gt;$AG$18)</formula>
    </cfRule>
  </conditionalFormatting>
  <pageMargins left="0.7" right="0.7" top="0.78740157499999996" bottom="0.78740157499999996" header="0.3" footer="0.3"/>
  <pageSetup paperSize="9" orientation="portrait" r:id="rId1"/>
  <ignoredErrors>
    <ignoredError sqref="AD12 AD17:AD1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90656B-5E34-4543-A15E-1236924D67A6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 tint="-0.249977111117893"/>
              <x14:negativeFillColor rgb="FFFF0000"/>
              <x14:negativeBorderColor rgb="FFFF0000"/>
              <x14:axisColor rgb="FF000000"/>
            </x14:dataBar>
          </x14:cfRule>
          <xm:sqref>AD3:AD18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helper</vt:lpstr>
      <vt:lpstr>tie breaker</vt:lpstr>
      <vt:lpstr>Gruppenphase</vt:lpstr>
      <vt:lpstr>KO-Phase</vt:lpstr>
      <vt:lpstr>Tore</vt:lpstr>
    </vt:vector>
  </TitlesOfParts>
  <Company>IT-Services der Sozialversicherung GmbH für WGKK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Burkhardt Thomas</dc:creator>
  <cp:lastModifiedBy>Burkhardt Thomas</cp:lastModifiedBy>
  <dcterms:created xsi:type="dcterms:W3CDTF">2016-05-30T05:15:25Z</dcterms:created>
  <dcterms:modified xsi:type="dcterms:W3CDTF">2021-06-24T05:09:28Z</dcterms:modified>
</cp:coreProperties>
</file>